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 filterPrivacy="1"/>
  <bookViews>
    <workbookView xWindow="26280" yWindow="210" windowWidth="25200" windowHeight="15150" activeTab="1"/>
  </bookViews>
  <sheets>
    <sheet name="Loan Budget" sheetId="1" r:id="rId1"/>
    <sheet name="CFF" sheetId="27" r:id="rId2"/>
    <sheet name="Household Budget" sheetId="3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<sst xmlns="http://schemas.openxmlformats.org/spreadsheetml/2006/main" count="213" uniqueCount="189">
  <si>
    <t>Cost</t>
  </si>
  <si>
    <t>Description</t>
  </si>
  <si>
    <t>Toyota Hilux</t>
  </si>
  <si>
    <t>Insurance</t>
  </si>
  <si>
    <t>Misc Tools</t>
  </si>
  <si>
    <t>Register Company</t>
  </si>
  <si>
    <t>Receipts</t>
  </si>
  <si>
    <t>Sales Labour</t>
  </si>
  <si>
    <t>Details</t>
  </si>
  <si>
    <t>Rate</t>
  </si>
  <si>
    <t>Total Receipts</t>
  </si>
  <si>
    <t>Materials Margin</t>
  </si>
  <si>
    <t>Less Payments</t>
  </si>
  <si>
    <t>Direct costs</t>
  </si>
  <si>
    <t>Materials</t>
  </si>
  <si>
    <t>Other</t>
  </si>
  <si>
    <t>Overheads</t>
  </si>
  <si>
    <t>Bank Fees</t>
  </si>
  <si>
    <t>Power</t>
  </si>
  <si>
    <t>Rent</t>
  </si>
  <si>
    <t>Repairs and maintenance</t>
  </si>
  <si>
    <t>Telephone</t>
  </si>
  <si>
    <t>Total Cash Payments</t>
  </si>
  <si>
    <t>Net Cash Flow</t>
  </si>
  <si>
    <t>Closing Bank Balance</t>
  </si>
  <si>
    <t>Debt repayments over 5 years</t>
  </si>
  <si>
    <t>Motor vehicle Fuel</t>
  </si>
  <si>
    <t>Tools</t>
  </si>
  <si>
    <t>Overdraft Fee</t>
  </si>
  <si>
    <t>Site Shed</t>
  </si>
  <si>
    <t>Materials - 1 month in arrears</t>
  </si>
  <si>
    <t>Fuel for 2 months</t>
  </si>
  <si>
    <t>In Scope</t>
  </si>
  <si>
    <t>Accountant</t>
  </si>
  <si>
    <t>Accounting Software Package</t>
  </si>
  <si>
    <t>Contractor Management Package</t>
  </si>
  <si>
    <t>Health and Safety Management Contract</t>
  </si>
  <si>
    <t>a</t>
  </si>
  <si>
    <t>b</t>
  </si>
  <si>
    <t>d</t>
  </si>
  <si>
    <t>Month-1</t>
  </si>
  <si>
    <t>Month-2</t>
  </si>
  <si>
    <t>Month-3</t>
  </si>
  <si>
    <t>Month-4</t>
  </si>
  <si>
    <t>Month-5</t>
  </si>
  <si>
    <t>Month-6</t>
  </si>
  <si>
    <t>Month-7</t>
  </si>
  <si>
    <t>Month-8</t>
  </si>
  <si>
    <t>Month-9</t>
  </si>
  <si>
    <t>Month-10</t>
  </si>
  <si>
    <t>Month-11</t>
  </si>
  <si>
    <t>Month-12</t>
  </si>
  <si>
    <t>Interest - flat rate on initial loan value</t>
  </si>
  <si>
    <t>Loan</t>
  </si>
  <si>
    <t>Vehicle</t>
  </si>
  <si>
    <t>Total</t>
  </si>
  <si>
    <t>Sally</t>
  </si>
  <si>
    <t>Long-term Assets</t>
  </si>
  <si>
    <t>Bank Loan</t>
  </si>
  <si>
    <t>Total Direct Costs</t>
  </si>
  <si>
    <t>Total Overheads</t>
  </si>
  <si>
    <t>Charge out</t>
  </si>
  <si>
    <t>Add target Profit</t>
  </si>
  <si>
    <t>Total target budget</t>
  </si>
  <si>
    <t>Sally annual costs</t>
  </si>
  <si>
    <t>Break-even Analysis</t>
  </si>
  <si>
    <t>Overhead costs</t>
  </si>
  <si>
    <t>Employee</t>
  </si>
  <si>
    <t>Hourly Rate</t>
  </si>
  <si>
    <t>Average hourly price</t>
  </si>
  <si>
    <t>Target Annual Profit</t>
  </si>
  <si>
    <t>Average hourly cost</t>
  </si>
  <si>
    <t>rate x 40hrs x 4w x 2m</t>
  </si>
  <si>
    <t>rate x 4w x 2m</t>
  </si>
  <si>
    <t>rate x 2m</t>
  </si>
  <si>
    <t>Apprentice wages +expenses</t>
  </si>
  <si>
    <t>Loan Budget</t>
  </si>
  <si>
    <t>Mobile phone</t>
  </si>
  <si>
    <t>My wages + expenses</t>
  </si>
  <si>
    <t>Gross margin $/hr</t>
  </si>
  <si>
    <t>Work hours per year</t>
  </si>
  <si>
    <t>Wages and employee expenses</t>
  </si>
  <si>
    <t>Work weeks per year</t>
  </si>
  <si>
    <t>Anniversaries</t>
  </si>
  <si>
    <t>Holiday days</t>
  </si>
  <si>
    <t>Sick days</t>
  </si>
  <si>
    <t>Stat holidays</t>
  </si>
  <si>
    <t>Total non-working days</t>
  </si>
  <si>
    <t>Avail work days per year</t>
  </si>
  <si>
    <t>Max Billable Hrs/Month</t>
  </si>
  <si>
    <t>Max Billable weeks/year</t>
  </si>
  <si>
    <t>Average Gross Margin/hr</t>
  </si>
  <si>
    <t>Labour Utilisation percentage</t>
  </si>
  <si>
    <t>Util Billable Hrs/Month</t>
  </si>
  <si>
    <t>Insurance - liability and indeminty</t>
  </si>
  <si>
    <t>ACC - Accident Compensation Commission</t>
  </si>
  <si>
    <t>Lawyer</t>
  </si>
  <si>
    <t>Estimate</t>
  </si>
  <si>
    <t>Advertising, Website, Social Media</t>
  </si>
  <si>
    <t>Food</t>
  </si>
  <si>
    <t>Internet</t>
  </si>
  <si>
    <t>Microsoft Office</t>
  </si>
  <si>
    <t>Netflix</t>
  </si>
  <si>
    <t>Rubbish</t>
  </si>
  <si>
    <t>AA</t>
  </si>
  <si>
    <t>Haircut</t>
  </si>
  <si>
    <t>Eyebrows and lashes</t>
  </si>
  <si>
    <t>World vision</t>
  </si>
  <si>
    <t>Trailer reg</t>
  </si>
  <si>
    <t>Trailer WoF</t>
  </si>
  <si>
    <t>May</t>
  </si>
  <si>
    <t>House Electricity</t>
  </si>
  <si>
    <t>House Water</t>
  </si>
  <si>
    <t>House Content Insurance</t>
  </si>
  <si>
    <t>Sally Mobile</t>
  </si>
  <si>
    <t>Robert Mobile</t>
  </si>
  <si>
    <t>Fuel Sally</t>
  </si>
  <si>
    <t>Fuel Robert</t>
  </si>
  <si>
    <t>Car Ins Sally</t>
  </si>
  <si>
    <t>Car Ins Robert</t>
  </si>
  <si>
    <t>Car reg Sally</t>
  </si>
  <si>
    <t>Car reg Robert</t>
  </si>
  <si>
    <t>Car WoF Sally</t>
  </si>
  <si>
    <t>Car WoF Robert</t>
  </si>
  <si>
    <t>Income per Year</t>
  </si>
  <si>
    <t>Costs per Year</t>
  </si>
  <si>
    <t>Entertainment ($100/w)</t>
  </si>
  <si>
    <t>School fees and expenses</t>
  </si>
  <si>
    <t>NOTE: The above is indicative only and is likely to change with each household.</t>
  </si>
  <si>
    <t>Health Insurance</t>
  </si>
  <si>
    <t>House Insurance ($0 - renting)</t>
  </si>
  <si>
    <t>House Rates  ($0 - renting)</t>
  </si>
  <si>
    <t>Less 30% Tax</t>
  </si>
  <si>
    <t>Take Home</t>
  </si>
  <si>
    <t>Robert</t>
  </si>
  <si>
    <t>Rent ($550/w)</t>
  </si>
  <si>
    <t>Remaining Cash Available</t>
  </si>
  <si>
    <t>Total Take Home Pay</t>
  </si>
  <si>
    <t>Clothing ($100/w)</t>
  </si>
  <si>
    <t>Total Costs</t>
  </si>
  <si>
    <t>Apprentice</t>
  </si>
  <si>
    <t>Apprentice annual costs</t>
  </si>
  <si>
    <t>Kiwi Saver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</si>
  <si>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</si>
  <si>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</si>
  <si>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</si>
  <si>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</si>
  <si>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</si>
  <si>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</si>
  <si>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</si>
  <si>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</si>
  <si>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</si>
  <si>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</si>
  <si>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</si>
  <si>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Week days per year</t>
  </si>
  <si>
    <t>Cash Inj.</t>
  </si>
  <si>
    <t>Financing</t>
  </si>
  <si>
    <t>c</t>
  </si>
  <si>
    <t>e = b+c+d</t>
  </si>
  <si>
    <t>f</t>
  </si>
  <si>
    <t>g = e+f</t>
  </si>
  <si>
    <t>i = e÷a÷h</t>
  </si>
  <si>
    <t>j = i÷2</t>
  </si>
  <si>
    <t>k = g÷a÷h</t>
  </si>
  <si>
    <t>l = k÷2</t>
  </si>
  <si>
    <t>Calculations</t>
  </si>
  <si>
    <t>h = per unit(price-costs)</t>
  </si>
  <si>
    <t>Utilisation percentage</t>
  </si>
  <si>
    <t>Total overhead costs</t>
  </si>
  <si>
    <t>Invoice hrs per employee</t>
  </si>
  <si>
    <t>2 employees</t>
  </si>
  <si>
    <t>To achieve break even per week</t>
  </si>
  <si>
    <t>To achieve target profit per week</t>
  </si>
  <si>
    <t>Invoice hrs total</t>
  </si>
  <si>
    <t>c = b-d</t>
  </si>
  <si>
    <t>e = c÷5days</t>
  </si>
  <si>
    <t>g = c×8÷12</t>
  </si>
  <si>
    <t>h = g×f</t>
  </si>
  <si>
    <t>a  (52wx40h)</t>
  </si>
  <si>
    <t>b  (52wx5d)</t>
  </si>
  <si>
    <t>Employee Expense Percent (EEP)</t>
  </si>
  <si>
    <t>EEP/hour</t>
  </si>
  <si>
    <t>Opening Bank Balance - starts with total financing less long-term assets</t>
  </si>
  <si>
    <t>Weeks avail per year</t>
  </si>
  <si>
    <t>Final Closing Balance (FCB)</t>
  </si>
  <si>
    <t>Bank Covenant - Balance of debt (FCB - LR)</t>
  </si>
  <si>
    <t>Loan remaining owed to Bank (LR)</t>
  </si>
  <si>
    <t>Household Budget</t>
  </si>
  <si>
    <t>Cash Flow Forecast (CFF)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</si>
</sst>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_-;_-@_-"/>
    <numFmt numFmtId="166" formatCode="_(&quot;$&quot;* #,##0.0_);_(&quot;$&quot;* \(#,##0.0\);_(&quot;$&quot;* &quot;-&quot;?_);_(@_)"/>
    <numFmt numFmtId="167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1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ck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ck"/>
      <right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 style="thick"/>
      <bottom style="thick"/>
    </border>
    <border>
      <left style="thick"/>
      <right/>
      <top/>
      <bottom/>
    </border>
    <border>
      <left style="thick"/>
      <right style="dashed"/>
      <top style="medium"/>
      <bottom/>
    </border>
    <border>
      <left style="thick"/>
      <right style="dashed"/>
      <top/>
      <bottom/>
    </border>
    <border>
      <left style="thick"/>
      <right style="dashed"/>
      <top/>
      <bottom style="thick"/>
    </border>
    <border>
      <left/>
      <right style="dashed"/>
      <top style="medium"/>
      <bottom/>
    </border>
    <border>
      <left/>
      <right style="dashed"/>
      <top/>
      <bottom/>
    </border>
    <border>
      <left/>
      <right style="dashed"/>
      <top/>
      <bottom style="thin"/>
    </border>
    <border>
      <left/>
      <right style="dashed"/>
      <top/>
      <bottom style="thick"/>
    </border>
    <border>
      <left style="thick"/>
      <right style="dashed"/>
      <top style="thin"/>
      <bottom/>
    </border>
    <border>
      <left/>
      <right style="dashed"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dashed"/>
      <right/>
      <top/>
      <bottom/>
    </border>
    <border>
      <left style="dashed"/>
      <right style="dashed"/>
      <top style="medium"/>
      <bottom/>
    </border>
    <border>
      <left style="thick"/>
      <right style="dashed"/>
      <top style="thin"/>
      <bottom style="medium"/>
    </border>
    <border>
      <left/>
      <right style="dashed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ck"/>
      <right style="dashed"/>
      <top/>
      <bottom style="medium"/>
    </border>
    <border>
      <left style="dashed"/>
      <right/>
      <top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8">
    <xf numFmtId="0" fontId="0" fillId="0" borderId="0" xfId="0"/>
    <xf numFmtId="42" fontId="0" fillId="0" borderId="0" xfId="16" applyNumberFormat="1" applyFont="1"/>
    <xf numFmtId="42" fontId="0" fillId="0" borderId="1" xfId="16" applyNumberFormat="1" applyFont="1" applyBorder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 indent="2"/>
    </xf>
    <xf numFmtId="42" fontId="0" fillId="0" borderId="0" xfId="0" applyNumberFormat="1"/>
    <xf numFmtId="42" fontId="0" fillId="0" borderId="2" xfId="16" applyNumberFormat="1" applyFont="1" applyBorder="1"/>
    <xf numFmtId="42" fontId="0" fillId="0" borderId="1" xfId="0" applyNumberFormat="1" applyBorder="1"/>
    <xf numFmtId="42" fontId="2" fillId="0" borderId="2" xfId="16" applyNumberFormat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2" fontId="0" fillId="0" borderId="5" xfId="16" applyNumberFormat="1" applyFont="1" applyBorder="1"/>
    <xf numFmtId="3" fontId="0" fillId="0" borderId="5" xfId="16" applyNumberFormat="1" applyFont="1" applyBorder="1"/>
    <xf numFmtId="9" fontId="0" fillId="0" borderId="5" xfId="15" applyFont="1" applyBorder="1"/>
    <xf numFmtId="44" fontId="2" fillId="0" borderId="5" xfId="0" applyNumberFormat="1" applyFont="1" applyBorder="1"/>
    <xf numFmtId="9" fontId="0" fillId="0" borderId="5" xfId="0" applyNumberFormat="1" applyBorder="1"/>
    <xf numFmtId="42" fontId="0" fillId="2" borderId="0" xfId="16" applyNumberFormat="1" applyFont="1" applyFill="1"/>
    <xf numFmtId="42" fontId="0" fillId="3" borderId="0" xfId="16" applyNumberFormat="1" applyFont="1" applyFill="1"/>
    <xf numFmtId="42" fontId="0" fillId="4" borderId="0" xfId="16" applyNumberFormat="1" applyFont="1" applyFill="1"/>
    <xf numFmtId="0" fontId="2" fillId="0" borderId="0" xfId="0" applyFont="1" applyAlignment="1">
      <alignment horizontal="center"/>
    </xf>
    <xf numFmtId="42" fontId="0" fillId="0" borderId="0" xfId="16" applyNumberFormat="1" applyFont="1" applyBorder="1"/>
    <xf numFmtId="42" fontId="0" fillId="5" borderId="5" xfId="16" applyNumberFormat="1" applyFont="1" applyFill="1" applyBorder="1"/>
    <xf numFmtId="0" fontId="4" fillId="0" borderId="0" xfId="0" applyFont="1"/>
    <xf numFmtId="42" fontId="0" fillId="0" borderId="0" xfId="16" applyNumberFormat="1" applyFont="1" applyFill="1"/>
    <xf numFmtId="0" fontId="0" fillId="0" borderId="0" xfId="0" applyAlignment="1">
      <alignment horizontal="left" indent="1"/>
    </xf>
    <xf numFmtId="42" fontId="0" fillId="6" borderId="0" xfId="16" applyNumberFormat="1" applyFont="1" applyFill="1"/>
    <xf numFmtId="3" fontId="0" fillId="0" borderId="0" xfId="0" applyNumberFormat="1"/>
    <xf numFmtId="0" fontId="0" fillId="6" borderId="0" xfId="0" applyFill="1" applyAlignment="1">
      <alignment horizontal="left" indent="2"/>
    </xf>
    <xf numFmtId="42" fontId="0" fillId="6" borderId="5" xfId="16" applyNumberFormat="1" applyFont="1" applyFill="1" applyBorder="1"/>
    <xf numFmtId="42" fontId="0" fillId="7" borderId="0" xfId="0" applyNumberFormat="1" applyFill="1"/>
    <xf numFmtId="42" fontId="0" fillId="7" borderId="0" xfId="16" applyNumberFormat="1" applyFont="1" applyFill="1"/>
    <xf numFmtId="42" fontId="0" fillId="6" borderId="0" xfId="0" applyNumberFormat="1" applyFill="1"/>
    <xf numFmtId="9" fontId="0" fillId="0" borderId="0" xfId="0" applyNumberFormat="1"/>
    <xf numFmtId="0" fontId="0" fillId="0" borderId="6" xfId="0" applyBorder="1"/>
    <xf numFmtId="9" fontId="0" fillId="0" borderId="6" xfId="0" applyNumberFormat="1" applyBorder="1"/>
    <xf numFmtId="42" fontId="0" fillId="0" borderId="6" xfId="16" applyNumberFormat="1" applyFont="1" applyBorder="1"/>
    <xf numFmtId="0" fontId="0" fillId="0" borderId="7" xfId="0" applyBorder="1"/>
    <xf numFmtId="0" fontId="2" fillId="0" borderId="6" xfId="0" applyFont="1" applyBorder="1"/>
    <xf numFmtId="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" fontId="0" fillId="0" borderId="0" xfId="0" applyNumberFormat="1" applyFill="1" applyBorder="1"/>
    <xf numFmtId="42" fontId="2" fillId="0" borderId="8" xfId="16" applyNumberFormat="1" applyFont="1" applyBorder="1"/>
    <xf numFmtId="42" fontId="2" fillId="8" borderId="0" xfId="16" applyNumberFormat="1" applyFont="1" applyFill="1"/>
    <xf numFmtId="42" fontId="2" fillId="8" borderId="0" xfId="0" applyNumberFormat="1" applyFont="1" applyFill="1"/>
    <xf numFmtId="0" fontId="2" fillId="0" borderId="3" xfId="0" applyFont="1" applyBorder="1" applyAlignment="1">
      <alignment horizontal="center"/>
    </xf>
    <xf numFmtId="0" fontId="0" fillId="0" borderId="0" xfId="0" applyFill="1"/>
    <xf numFmtId="42" fontId="0" fillId="0" borderId="0" xfId="0" applyNumberFormat="1" applyFill="1" applyBorder="1"/>
    <xf numFmtId="0" fontId="0" fillId="0" borderId="0" xfId="0" applyFill="1" applyBorder="1"/>
    <xf numFmtId="0" fontId="0" fillId="9" borderId="0" xfId="0" applyFill="1" applyBorder="1"/>
    <xf numFmtId="0" fontId="0" fillId="9" borderId="5" xfId="0" applyFill="1" applyBorder="1"/>
    <xf numFmtId="0" fontId="0" fillId="10" borderId="5" xfId="0" applyFill="1" applyBorder="1"/>
    <xf numFmtId="0" fontId="0" fillId="10" borderId="0" xfId="0" applyFill="1" applyBorder="1"/>
    <xf numFmtId="0" fontId="0" fillId="10" borderId="9" xfId="0" applyFill="1" applyBorder="1"/>
    <xf numFmtId="0" fontId="0" fillId="10" borderId="10" xfId="0" applyFill="1" applyBorder="1"/>
    <xf numFmtId="44" fontId="0" fillId="6" borderId="0" xfId="16" applyNumberFormat="1" applyFont="1" applyFill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1" xfId="0" applyFill="1" applyBorder="1"/>
    <xf numFmtId="0" fontId="2" fillId="0" borderId="0" xfId="0" applyFont="1" applyFill="1" applyBorder="1"/>
    <xf numFmtId="0" fontId="5" fillId="0" borderId="0" xfId="0" applyFont="1" applyFill="1" applyBorder="1" applyAlignment="1">
      <alignment/>
    </xf>
    <xf numFmtId="165" fontId="0" fillId="0" borderId="0" xfId="20" applyNumberFormat="1" applyFont="1"/>
    <xf numFmtId="165" fontId="0" fillId="0" borderId="0" xfId="0" applyNumberFormat="1"/>
    <xf numFmtId="165" fontId="0" fillId="0" borderId="0" xfId="20" applyNumberFormat="1" applyFont="1" applyBorder="1"/>
    <xf numFmtId="166" fontId="0" fillId="0" borderId="0" xfId="0" applyNumberFormat="1"/>
    <xf numFmtId="165" fontId="2" fillId="0" borderId="1" xfId="20" applyNumberFormat="1" applyFont="1" applyBorder="1"/>
    <xf numFmtId="165" fontId="2" fillId="0" borderId="16" xfId="0" applyNumberFormat="1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11" borderId="0" xfId="0" applyFont="1" applyFill="1" applyAlignment="1">
      <alignment horizontal="center"/>
    </xf>
    <xf numFmtId="0" fontId="2" fillId="11" borderId="0" xfId="0" applyFont="1" applyFill="1"/>
    <xf numFmtId="165" fontId="2" fillId="0" borderId="0" xfId="20" applyNumberFormat="1" applyFont="1" applyBorder="1"/>
    <xf numFmtId="165" fontId="2" fillId="0" borderId="0" xfId="0" applyNumberFormat="1" applyFont="1" applyBorder="1"/>
    <xf numFmtId="0" fontId="0" fillId="0" borderId="0" xfId="0" applyFill="1" applyAlignment="1">
      <alignment horizontal="left" indent="2"/>
    </xf>
    <xf numFmtId="9" fontId="0" fillId="6" borderId="5" xfId="15" applyFont="1" applyFill="1" applyBorder="1"/>
    <xf numFmtId="0" fontId="0" fillId="12" borderId="0" xfId="0" applyFill="1" applyAlignment="1">
      <alignment horizontal="left" indent="2"/>
    </xf>
    <xf numFmtId="42" fontId="0" fillId="12" borderId="0" xfId="16" applyNumberFormat="1" applyFont="1" applyFill="1"/>
    <xf numFmtId="0" fontId="0" fillId="12" borderId="5" xfId="0" applyFill="1" applyBorder="1"/>
    <xf numFmtId="0" fontId="2" fillId="13" borderId="0" xfId="0" applyFont="1" applyFill="1" applyAlignment="1">
      <alignment horizontal="center"/>
    </xf>
    <xf numFmtId="3" fontId="2" fillId="13" borderId="0" xfId="0" applyNumberFormat="1" applyFont="1" applyFill="1" applyAlignment="1">
      <alignment horizontal="center"/>
    </xf>
    <xf numFmtId="0" fontId="6" fillId="0" borderId="11" xfId="0" applyFont="1" applyFill="1" applyBorder="1"/>
    <xf numFmtId="0" fontId="6" fillId="0" borderId="12" xfId="0" applyFont="1" applyBorder="1"/>
    <xf numFmtId="0" fontId="6" fillId="0" borderId="6" xfId="0" applyFont="1" applyBorder="1"/>
    <xf numFmtId="167" fontId="0" fillId="0" borderId="6" xfId="0" applyNumberFormat="1" applyBorder="1"/>
    <xf numFmtId="1" fontId="7" fillId="0" borderId="0" xfId="0" applyNumberFormat="1" applyFont="1" applyFill="1" applyBorder="1"/>
    <xf numFmtId="0" fontId="2" fillId="0" borderId="17" xfId="0" applyFont="1" applyBorder="1" applyAlignment="1">
      <alignment/>
    </xf>
    <xf numFmtId="42" fontId="0" fillId="0" borderId="18" xfId="0" applyNumberFormat="1" applyBorder="1"/>
    <xf numFmtId="42" fontId="0" fillId="0" borderId="19" xfId="0" applyNumberFormat="1" applyBorder="1"/>
    <xf numFmtId="0" fontId="2" fillId="9" borderId="17" xfId="0" applyFont="1" applyFill="1" applyBorder="1"/>
    <xf numFmtId="1" fontId="0" fillId="9" borderId="19" xfId="0" applyNumberFormat="1" applyFill="1" applyBorder="1"/>
    <xf numFmtId="0" fontId="2" fillId="10" borderId="17" xfId="0" applyFont="1" applyFill="1" applyBorder="1"/>
    <xf numFmtId="1" fontId="0" fillId="10" borderId="20" xfId="0" applyNumberFormat="1" applyFill="1" applyBorder="1"/>
    <xf numFmtId="42" fontId="0" fillId="0" borderId="21" xfId="0" applyNumberFormat="1" applyBorder="1"/>
    <xf numFmtId="42" fontId="0" fillId="0" borderId="22" xfId="0" applyNumberFormat="1" applyBorder="1"/>
    <xf numFmtId="42" fontId="0" fillId="0" borderId="23" xfId="0" applyNumberFormat="1" applyBorder="1"/>
    <xf numFmtId="1" fontId="0" fillId="9" borderId="22" xfId="0" applyNumberFormat="1" applyFill="1" applyBorder="1"/>
    <xf numFmtId="1" fontId="0" fillId="10" borderId="24" xfId="0" applyNumberFormat="1" applyFill="1" applyBorder="1"/>
    <xf numFmtId="1" fontId="0" fillId="9" borderId="25" xfId="0" applyNumberFormat="1" applyFill="1" applyBorder="1"/>
    <xf numFmtId="1" fontId="0" fillId="9" borderId="26" xfId="0" applyNumberFormat="1" applyFill="1" applyBorder="1"/>
    <xf numFmtId="0" fontId="0" fillId="9" borderId="27" xfId="0" applyFill="1" applyBorder="1"/>
    <xf numFmtId="0" fontId="0" fillId="9" borderId="28" xfId="0" applyFill="1" applyBorder="1"/>
    <xf numFmtId="1" fontId="0" fillId="10" borderId="25" xfId="0" applyNumberFormat="1" applyFill="1" applyBorder="1"/>
    <xf numFmtId="1" fontId="0" fillId="10" borderId="26" xfId="0" applyNumberFormat="1" applyFill="1" applyBorder="1"/>
    <xf numFmtId="0" fontId="0" fillId="10" borderId="27" xfId="0" applyFill="1" applyBorder="1"/>
    <xf numFmtId="0" fontId="0" fillId="10" borderId="28" xfId="0" applyFill="1" applyBorder="1"/>
    <xf numFmtId="0" fontId="0" fillId="0" borderId="29" xfId="0" applyBorder="1"/>
    <xf numFmtId="0" fontId="0" fillId="0" borderId="21" xfId="0" applyBorder="1" applyAlignment="1">
      <alignment/>
    </xf>
    <xf numFmtId="9" fontId="0" fillId="0" borderId="18" xfId="0" applyNumberFormat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42" fontId="0" fillId="14" borderId="31" xfId="0" applyNumberFormat="1" applyFill="1" applyBorder="1"/>
    <xf numFmtId="42" fontId="0" fillId="14" borderId="32" xfId="0" applyNumberFormat="1" applyFill="1" applyBorder="1"/>
    <xf numFmtId="42" fontId="0" fillId="15" borderId="31" xfId="0" applyNumberFormat="1" applyFill="1" applyBorder="1"/>
    <xf numFmtId="42" fontId="0" fillId="15" borderId="32" xfId="0" applyNumberFormat="1" applyFill="1" applyBorder="1"/>
    <xf numFmtId="0" fontId="2" fillId="0" borderId="11" xfId="0" applyFont="1" applyBorder="1"/>
    <xf numFmtId="0" fontId="0" fillId="0" borderId="33" xfId="0" applyBorder="1"/>
    <xf numFmtId="42" fontId="0" fillId="0" borderId="34" xfId="16" applyNumberFormat="1" applyFont="1" applyBorder="1"/>
    <xf numFmtId="0" fontId="0" fillId="0" borderId="34" xfId="0" applyBorder="1"/>
    <xf numFmtId="0" fontId="2" fillId="0" borderId="7" xfId="0" applyFont="1" applyBorder="1"/>
    <xf numFmtId="0" fontId="0" fillId="0" borderId="35" xfId="0" applyBorder="1"/>
    <xf numFmtId="0" fontId="2" fillId="0" borderId="33" xfId="0" applyFont="1" applyBorder="1"/>
    <xf numFmtId="42" fontId="0" fillId="0" borderId="36" xfId="16" applyNumberFormat="1" applyFont="1" applyBorder="1"/>
    <xf numFmtId="42" fontId="0" fillId="0" borderId="34" xfId="16" applyNumberFormat="1" applyFont="1" applyFill="1" applyBorder="1"/>
    <xf numFmtId="0" fontId="0" fillId="0" borderId="6" xfId="0" applyFill="1" applyBorder="1"/>
    <xf numFmtId="0" fontId="0" fillId="0" borderId="3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8" xfId="0" applyFill="1" applyBorder="1"/>
    <xf numFmtId="0" fontId="0" fillId="0" borderId="4" xfId="0" applyFill="1" applyBorder="1"/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2" fillId="11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workbookViewId="0" topLeftCell="A1">
      <selection activeCell="B1" sqref="B1"/>
    </sheetView>
  </sheetViews>
  <sheetFormatPr defaultColWidth="9.140625" defaultRowHeight="15"/>
  <cols>
    <col min="1" max="1" width="1.421875" style="0" customWidth="1"/>
    <col min="2" max="2" width="27.28125" style="0" bestFit="1" customWidth="1"/>
    <col min="3" max="3" width="7.28125" style="0" customWidth="1"/>
    <col min="4" max="4" width="11.57421875" style="0" bestFit="1" customWidth="1"/>
    <col min="5" max="5" width="20.421875" style="0" bestFit="1" customWidth="1"/>
  </cols>
  <sheetData>
    <row r="1" ht="26.25">
      <c r="A1" s="24" t="s">
        <v>76</v>
      </c>
    </row>
    <row r="3" spans="2:4" ht="15">
      <c r="B3" s="3" t="s">
        <v>1</v>
      </c>
      <c r="C3" s="3" t="s">
        <v>9</v>
      </c>
      <c r="D3" s="21" t="s">
        <v>0</v>
      </c>
    </row>
    <row r="4" spans="2:4" ht="15">
      <c r="B4" t="s">
        <v>2</v>
      </c>
      <c r="C4" s="1"/>
      <c r="D4" s="1">
        <v>23500</v>
      </c>
    </row>
    <row r="5" spans="3:4" ht="15">
      <c r="C5" s="1"/>
      <c r="D5" s="1"/>
    </row>
    <row r="6" spans="2:4" ht="15">
      <c r="B6" t="s">
        <v>3</v>
      </c>
      <c r="C6" s="1"/>
      <c r="D6" s="1">
        <v>2500</v>
      </c>
    </row>
    <row r="7" spans="2:4" ht="15">
      <c r="B7" t="s">
        <v>4</v>
      </c>
      <c r="C7" s="1"/>
      <c r="D7" s="1">
        <v>2500</v>
      </c>
    </row>
    <row r="8" spans="2:4" ht="15">
      <c r="B8" t="s">
        <v>29</v>
      </c>
      <c r="C8" s="1"/>
      <c r="D8" s="1">
        <v>1000</v>
      </c>
    </row>
    <row r="9" spans="2:5" ht="15">
      <c r="B9" t="s">
        <v>33</v>
      </c>
      <c r="C9" s="1">
        <v>100</v>
      </c>
      <c r="D9" s="1">
        <f>C9*2</f>
        <v>200</v>
      </c>
      <c r="E9" t="s">
        <v>74</v>
      </c>
    </row>
    <row r="10" spans="2:5" ht="15">
      <c r="B10" t="s">
        <v>78</v>
      </c>
      <c r="C10" s="1">
        <v>47</v>
      </c>
      <c r="D10" s="1">
        <f>C10*40*4*2</f>
        <v>15040</v>
      </c>
      <c r="E10" t="s">
        <v>72</v>
      </c>
    </row>
    <row r="11" spans="2:5" ht="15">
      <c r="B11" t="s">
        <v>75</v>
      </c>
      <c r="C11" s="1">
        <v>27</v>
      </c>
      <c r="D11" s="1">
        <f>C11*40*4*2</f>
        <v>8640</v>
      </c>
      <c r="E11" t="s">
        <v>72</v>
      </c>
    </row>
    <row r="12" spans="2:4" ht="15">
      <c r="B12" t="s">
        <v>5</v>
      </c>
      <c r="C12" s="1"/>
      <c r="D12" s="1">
        <v>150</v>
      </c>
    </row>
    <row r="13" spans="2:5" ht="15">
      <c r="B13" t="s">
        <v>31</v>
      </c>
      <c r="C13" s="1">
        <v>200</v>
      </c>
      <c r="D13" s="1">
        <f>C13*4*2</f>
        <v>1600</v>
      </c>
      <c r="E13" t="s">
        <v>73</v>
      </c>
    </row>
    <row r="14" spans="2:5" ht="15">
      <c r="B14" t="s">
        <v>77</v>
      </c>
      <c r="C14" s="1">
        <v>100</v>
      </c>
      <c r="D14" s="1">
        <f>C14*2</f>
        <v>200</v>
      </c>
      <c r="E14" t="s">
        <v>74</v>
      </c>
    </row>
    <row r="15" spans="3:4" ht="15">
      <c r="C15" s="1"/>
      <c r="D15" s="1"/>
    </row>
    <row r="16" ht="15.75" thickBot="1">
      <c r="D16" s="2">
        <f>SUM(D4:D15)</f>
        <v>55330</v>
      </c>
    </row>
    <row r="17" ht="15">
      <c r="D17" s="1"/>
    </row>
    <row r="18" ht="15">
      <c r="D18" s="1"/>
    </row>
    <row r="19" ht="15">
      <c r="D19" s="1"/>
    </row>
    <row r="20" ht="15">
      <c r="D20" s="1"/>
    </row>
    <row r="21" ht="15">
      <c r="D21" s="1"/>
    </row>
    <row r="22" ht="15">
      <c r="D22" s="1"/>
    </row>
    <row r="23" ht="15">
      <c r="D23" s="1"/>
    </row>
    <row r="24" ht="15">
      <c r="D24" s="1"/>
    </row>
    <row r="25" ht="15">
      <c r="D25" s="1"/>
    </row>
    <row r="26" ht="15">
      <c r="D26" s="1"/>
    </row>
    <row r="27" ht="15">
      <c r="D27" s="1"/>
    </row>
    <row r="28" ht="15">
      <c r="D28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4B138-23BD-4DFB-86EA-DD6F9958990E}">
  <sheetPr>
    <tabColor rgb="FF92D050"/>
    <pageSetUpPr fitToPage="1"/>
  </sheetPr>
  <dimension ref="A1:R88"/>
  <sheetViews>
    <sheetView tabSelected="1" zoomScale="70" zoomScaleNormal="70" workbookViewId="0" topLeftCell="A1">
      <pane ySplit="18" topLeftCell="A38" activePane="bottomLeft" state="frozen"/>
      <selection pane="bottomLeft" activeCell="W44" sqref="W44"/>
    </sheetView>
  </sheetViews>
  <sheetFormatPr defaultColWidth="9.140625" defaultRowHeight="15"/>
  <cols>
    <col min="1" max="1" width="1.421875" style="0" customWidth="1"/>
    <col min="2" max="2" width="41.140625" style="0" customWidth="1"/>
    <col min="3" max="4" width="13.421875" style="0" customWidth="1"/>
    <col min="5" max="17" width="12.00390625" style="0" customWidth="1"/>
    <col min="18" max="18" width="11.7109375" style="0" customWidth="1"/>
  </cols>
  <sheetData>
    <row r="1" spans="1:2" ht="26.25">
      <c r="A1" s="24" t="s">
        <v>188</v>
      </c>
      <c r="B1" s="24"/>
    </row>
    <row r="2" spans="1:13" ht="15" customHeight="1">
      <c r="A2" s="24"/>
      <c r="I2" s="42"/>
      <c r="J2" s="42"/>
      <c r="K2" s="42"/>
      <c r="L2" s="42"/>
      <c r="M2" s="42"/>
    </row>
    <row r="3" spans="2:14" ht="15">
      <c r="B3" s="39" t="s">
        <v>67</v>
      </c>
      <c r="C3" s="40" t="s">
        <v>68</v>
      </c>
      <c r="D3" s="41" t="s">
        <v>181</v>
      </c>
      <c r="E3" s="41" t="s">
        <v>55</v>
      </c>
      <c r="F3" s="41" t="s">
        <v>61</v>
      </c>
      <c r="H3" s="35" t="s">
        <v>80</v>
      </c>
      <c r="I3" s="35"/>
      <c r="J3" s="129">
        <f>52*40</f>
        <v>2080</v>
      </c>
      <c r="K3" t="s">
        <v>178</v>
      </c>
      <c r="M3" s="120" t="s">
        <v>57</v>
      </c>
      <c r="N3" s="61"/>
    </row>
    <row r="4" spans="2:14" ht="15">
      <c r="B4" s="35" t="s">
        <v>56</v>
      </c>
      <c r="C4" s="37">
        <v>35</v>
      </c>
      <c r="D4" s="37">
        <f>C4*C$6</f>
        <v>11.55</v>
      </c>
      <c r="E4" s="37">
        <f>C4+D4</f>
        <v>46.55</v>
      </c>
      <c r="F4" s="37">
        <v>75</v>
      </c>
      <c r="H4" s="65" t="s">
        <v>154</v>
      </c>
      <c r="I4" s="61"/>
      <c r="J4" s="35">
        <f>52*5</f>
        <v>260</v>
      </c>
      <c r="K4" t="s">
        <v>179</v>
      </c>
      <c r="M4" s="121" t="s">
        <v>54</v>
      </c>
      <c r="N4" s="122">
        <v>25500</v>
      </c>
    </row>
    <row r="5" spans="2:14" ht="15">
      <c r="B5" s="35" t="s">
        <v>140</v>
      </c>
      <c r="C5" s="37">
        <v>20</v>
      </c>
      <c r="D5" s="37">
        <f>C5*C$6</f>
        <v>6.6000000000000005</v>
      </c>
      <c r="E5" s="37">
        <f>C5+D5</f>
        <v>26.6</v>
      </c>
      <c r="F5" s="37">
        <v>50</v>
      </c>
      <c r="H5" s="87"/>
      <c r="I5" s="88"/>
      <c r="J5" s="89"/>
      <c r="M5" s="121" t="s">
        <v>29</v>
      </c>
      <c r="N5" s="122">
        <v>1000</v>
      </c>
    </row>
    <row r="6" spans="2:14" ht="15.75" thickBot="1">
      <c r="B6" s="35" t="s">
        <v>180</v>
      </c>
      <c r="C6" s="36">
        <v>0.33</v>
      </c>
      <c r="D6" s="22"/>
      <c r="E6" s="22"/>
      <c r="F6" s="22"/>
      <c r="H6" s="35" t="s">
        <v>88</v>
      </c>
      <c r="I6" s="35"/>
      <c r="J6" s="35">
        <f>J4-C12</f>
        <v>224</v>
      </c>
      <c r="K6" t="s">
        <v>174</v>
      </c>
      <c r="M6" s="121" t="s">
        <v>27</v>
      </c>
      <c r="N6" s="122">
        <v>3000</v>
      </c>
    </row>
    <row r="7" spans="2:14" ht="15">
      <c r="B7" s="42"/>
      <c r="C7" s="22"/>
      <c r="D7" s="22"/>
      <c r="E7" s="22"/>
      <c r="F7" s="22"/>
      <c r="H7" s="65" t="s">
        <v>90</v>
      </c>
      <c r="I7" s="61"/>
      <c r="J7" s="35">
        <f>J6/5</f>
        <v>44.8</v>
      </c>
      <c r="K7" t="s">
        <v>175</v>
      </c>
      <c r="M7" s="121" t="s">
        <v>55</v>
      </c>
      <c r="N7" s="127">
        <f>SUM(N4:N6)</f>
        <v>29500</v>
      </c>
    </row>
    <row r="8" spans="2:14" ht="15">
      <c r="B8" s="60" t="s">
        <v>84</v>
      </c>
      <c r="C8" s="35">
        <v>20</v>
      </c>
      <c r="H8" s="65"/>
      <c r="I8" s="61"/>
      <c r="J8" s="35"/>
      <c r="M8" s="121"/>
      <c r="N8" s="123"/>
    </row>
    <row r="9" spans="2:14" ht="15">
      <c r="B9" s="60" t="s">
        <v>86</v>
      </c>
      <c r="C9" s="35">
        <v>10</v>
      </c>
      <c r="H9" s="65" t="s">
        <v>89</v>
      </c>
      <c r="I9" s="61"/>
      <c r="J9" s="90">
        <f>J6*8/12</f>
        <v>149.33333333333334</v>
      </c>
      <c r="K9" t="s">
        <v>176</v>
      </c>
      <c r="M9" s="124" t="s">
        <v>156</v>
      </c>
      <c r="N9" s="125"/>
    </row>
    <row r="10" spans="2:14" ht="15">
      <c r="B10" s="60" t="s">
        <v>85</v>
      </c>
      <c r="C10" s="35">
        <v>5</v>
      </c>
      <c r="H10" s="65" t="s">
        <v>93</v>
      </c>
      <c r="I10" s="61"/>
      <c r="J10" s="90">
        <f>J9*$C$14</f>
        <v>134.4</v>
      </c>
      <c r="K10" t="s">
        <v>177</v>
      </c>
      <c r="M10" s="121" t="s">
        <v>155</v>
      </c>
      <c r="N10" s="122">
        <v>10000</v>
      </c>
    </row>
    <row r="11" spans="2:14" ht="15.75" thickBot="1">
      <c r="B11" s="60" t="s">
        <v>83</v>
      </c>
      <c r="C11" s="63">
        <v>1</v>
      </c>
      <c r="M11" s="126" t="s">
        <v>58</v>
      </c>
      <c r="N11" s="128">
        <v>50000</v>
      </c>
    </row>
    <row r="12" spans="2:14" ht="15.75" thickBot="1">
      <c r="B12" s="62" t="s">
        <v>87</v>
      </c>
      <c r="C12" s="64">
        <f>SUM(C8:C11)</f>
        <v>36</v>
      </c>
      <c r="D12" t="s">
        <v>39</v>
      </c>
      <c r="M12" s="38"/>
      <c r="N12" s="127">
        <f>SUM(N10:N11)</f>
        <v>60000</v>
      </c>
    </row>
    <row r="13" spans="2:3" ht="15">
      <c r="B13" s="51"/>
      <c r="C13" s="52"/>
    </row>
    <row r="14" spans="2:4" ht="15">
      <c r="B14" t="s">
        <v>92</v>
      </c>
      <c r="C14" s="34">
        <v>0.9</v>
      </c>
      <c r="D14" t="s">
        <v>159</v>
      </c>
    </row>
    <row r="15" spans="2:3" ht="15">
      <c r="B15" t="s">
        <v>70</v>
      </c>
      <c r="C15" s="6">
        <v>10000</v>
      </c>
    </row>
    <row r="16" ht="15">
      <c r="H16" s="28"/>
    </row>
    <row r="17" spans="5:16" ht="15">
      <c r="E17" s="85" t="s">
        <v>151</v>
      </c>
      <c r="F17" s="86" t="s">
        <v>152</v>
      </c>
      <c r="G17" s="85" t="s">
        <v>153</v>
      </c>
      <c r="H17" s="86" t="s">
        <v>143</v>
      </c>
      <c r="I17" s="85" t="s">
        <v>144</v>
      </c>
      <c r="J17" s="86" t="s">
        <v>145</v>
      </c>
      <c r="K17" s="85" t="s">
        <v>146</v>
      </c>
      <c r="L17" s="86" t="s">
        <v>110</v>
      </c>
      <c r="M17" s="85" t="s">
        <v>147</v>
      </c>
      <c r="N17" s="86" t="s">
        <v>148</v>
      </c>
      <c r="O17" s="85" t="s">
        <v>149</v>
      </c>
      <c r="P17" s="86" t="s">
        <v>150</v>
      </c>
    </row>
    <row r="18" spans="2:16" ht="15.75" thickBot="1">
      <c r="B18" s="10"/>
      <c r="C18" s="10"/>
      <c r="D18" s="11"/>
      <c r="E18" s="49" t="s">
        <v>40</v>
      </c>
      <c r="F18" s="49" t="s">
        <v>41</v>
      </c>
      <c r="G18" s="49" t="s">
        <v>42</v>
      </c>
      <c r="H18" s="49" t="s">
        <v>43</v>
      </c>
      <c r="I18" s="49" t="s">
        <v>44</v>
      </c>
      <c r="J18" s="49" t="s">
        <v>45</v>
      </c>
      <c r="K18" s="49" t="s">
        <v>46</v>
      </c>
      <c r="L18" s="49" t="s">
        <v>47</v>
      </c>
      <c r="M18" s="49" t="s">
        <v>48</v>
      </c>
      <c r="N18" s="49" t="s">
        <v>49</v>
      </c>
      <c r="O18" s="49" t="s">
        <v>50</v>
      </c>
      <c r="P18" s="49" t="s">
        <v>51</v>
      </c>
    </row>
    <row r="19" spans="2:4" ht="15.75">
      <c r="B19" s="4" t="s">
        <v>6</v>
      </c>
      <c r="C19" t="s">
        <v>8</v>
      </c>
      <c r="D19" s="12" t="s">
        <v>9</v>
      </c>
    </row>
    <row r="20" spans="2:16" ht="15">
      <c r="B20" t="s">
        <v>7</v>
      </c>
      <c r="C20" t="s">
        <v>56</v>
      </c>
      <c r="D20" s="13">
        <f>F4</f>
        <v>75</v>
      </c>
      <c r="E20" s="1">
        <v>0</v>
      </c>
      <c r="F20" s="1">
        <f aca="true" t="shared" si="0" ref="F20:H21">$J$10*$D20</f>
        <v>10080</v>
      </c>
      <c r="G20" s="1">
        <f t="shared" si="0"/>
        <v>10080</v>
      </c>
      <c r="H20" s="1">
        <f t="shared" si="0"/>
        <v>10080</v>
      </c>
      <c r="I20" s="1">
        <v>10080</v>
      </c>
      <c r="J20" s="1">
        <f aca="true" t="shared" si="1" ref="J20:P21">$J$10*$D20</f>
        <v>10080</v>
      </c>
      <c r="K20" s="1">
        <f t="shared" si="1"/>
        <v>10080</v>
      </c>
      <c r="L20" s="1">
        <f t="shared" si="1"/>
        <v>10080</v>
      </c>
      <c r="M20" s="1">
        <f t="shared" si="1"/>
        <v>10080</v>
      </c>
      <c r="N20" s="1">
        <f t="shared" si="1"/>
        <v>10080</v>
      </c>
      <c r="O20" s="1">
        <f t="shared" si="1"/>
        <v>10080</v>
      </c>
      <c r="P20" s="1">
        <f t="shared" si="1"/>
        <v>10080</v>
      </c>
    </row>
    <row r="21" spans="3:16" ht="15">
      <c r="C21" t="s">
        <v>140</v>
      </c>
      <c r="D21" s="13">
        <f>F5</f>
        <v>50</v>
      </c>
      <c r="E21" s="1">
        <v>0</v>
      </c>
      <c r="F21" s="1">
        <f t="shared" si="0"/>
        <v>6720</v>
      </c>
      <c r="G21" s="1">
        <f t="shared" si="0"/>
        <v>6720</v>
      </c>
      <c r="H21" s="1">
        <f t="shared" si="0"/>
        <v>6720</v>
      </c>
      <c r="I21" s="1">
        <f>$J$10*$D21</f>
        <v>6720</v>
      </c>
      <c r="J21" s="1">
        <f t="shared" si="1"/>
        <v>6720</v>
      </c>
      <c r="K21" s="1">
        <f t="shared" si="1"/>
        <v>6720</v>
      </c>
      <c r="L21" s="1">
        <f t="shared" si="1"/>
        <v>6720</v>
      </c>
      <c r="M21" s="1">
        <f t="shared" si="1"/>
        <v>6720</v>
      </c>
      <c r="N21" s="1">
        <f t="shared" si="1"/>
        <v>6720</v>
      </c>
      <c r="O21" s="1">
        <f t="shared" si="1"/>
        <v>6720</v>
      </c>
      <c r="P21" s="1">
        <f t="shared" si="1"/>
        <v>6720</v>
      </c>
    </row>
    <row r="22" spans="2:16" ht="15">
      <c r="B22" t="s">
        <v>14</v>
      </c>
      <c r="D22" s="14"/>
      <c r="E22" s="1">
        <v>0</v>
      </c>
      <c r="F22" s="18">
        <f>G28</f>
        <v>20000</v>
      </c>
      <c r="G22" s="19">
        <f aca="true" t="shared" si="2" ref="G22">H28</f>
        <v>20000</v>
      </c>
      <c r="H22" s="18">
        <f>I28</f>
        <v>20000</v>
      </c>
      <c r="I22" s="19">
        <f>J28</f>
        <v>20000</v>
      </c>
      <c r="J22" s="18">
        <f aca="true" t="shared" si="3" ref="J22">K28</f>
        <v>20000</v>
      </c>
      <c r="K22" s="19">
        <f>L28</f>
        <v>20000</v>
      </c>
      <c r="L22" s="18">
        <f aca="true" t="shared" si="4" ref="L22">M28</f>
        <v>20000</v>
      </c>
      <c r="M22" s="19">
        <f>N28</f>
        <v>20000</v>
      </c>
      <c r="N22" s="18">
        <f aca="true" t="shared" si="5" ref="N22:O22">O28</f>
        <v>20000</v>
      </c>
      <c r="O22" s="19">
        <f t="shared" si="5"/>
        <v>20000</v>
      </c>
      <c r="P22" s="18">
        <f>Q28</f>
        <v>20000</v>
      </c>
    </row>
    <row r="23" spans="2:17" ht="15">
      <c r="B23" t="s">
        <v>11</v>
      </c>
      <c r="D23" s="15">
        <v>0.05</v>
      </c>
      <c r="E23" s="1">
        <v>0</v>
      </c>
      <c r="F23" s="1">
        <f aca="true" t="shared" si="6" ref="F23">G28*$D23</f>
        <v>1000</v>
      </c>
      <c r="G23" s="1">
        <f>H28*$D23</f>
        <v>1000</v>
      </c>
      <c r="H23" s="1">
        <f aca="true" t="shared" si="7" ref="H23:I23">I28*$D23</f>
        <v>1000</v>
      </c>
      <c r="I23" s="1">
        <f t="shared" si="7"/>
        <v>1000</v>
      </c>
      <c r="J23" s="1">
        <f aca="true" t="shared" si="8" ref="J23">K28*$D23</f>
        <v>1000</v>
      </c>
      <c r="K23" s="1">
        <f aca="true" t="shared" si="9" ref="K23">L28*$D23</f>
        <v>1000</v>
      </c>
      <c r="L23" s="1">
        <f aca="true" t="shared" si="10" ref="L23">M28*$D23</f>
        <v>1000</v>
      </c>
      <c r="M23" s="1">
        <f aca="true" t="shared" si="11" ref="M23">N28*$D23</f>
        <v>1000</v>
      </c>
      <c r="N23" s="1">
        <f aca="true" t="shared" si="12" ref="N23">O28*$D23</f>
        <v>1000</v>
      </c>
      <c r="O23" s="1">
        <f aca="true" t="shared" si="13" ref="O23">P28*$D23</f>
        <v>1000</v>
      </c>
      <c r="P23" s="1">
        <f aca="true" t="shared" si="14" ref="P23">Q28*$D23</f>
        <v>1000</v>
      </c>
      <c r="Q23" s="6">
        <f>SUM(E23:P23)</f>
        <v>11000</v>
      </c>
    </row>
    <row r="24" spans="2:17" ht="15">
      <c r="B24" s="3" t="s">
        <v>10</v>
      </c>
      <c r="C24" s="3"/>
      <c r="D24" s="16"/>
      <c r="E24" s="9">
        <f aca="true" t="shared" si="15" ref="E24:P24">SUM(E20:E23)</f>
        <v>0</v>
      </c>
      <c r="F24" s="9">
        <f t="shared" si="15"/>
        <v>37800</v>
      </c>
      <c r="G24" s="9">
        <f t="shared" si="15"/>
        <v>37800</v>
      </c>
      <c r="H24" s="9">
        <f t="shared" si="15"/>
        <v>37800</v>
      </c>
      <c r="I24" s="9">
        <f t="shared" si="15"/>
        <v>37800</v>
      </c>
      <c r="J24" s="9">
        <f t="shared" si="15"/>
        <v>37800</v>
      </c>
      <c r="K24" s="9">
        <f t="shared" si="15"/>
        <v>37800</v>
      </c>
      <c r="L24" s="9">
        <f t="shared" si="15"/>
        <v>37800</v>
      </c>
      <c r="M24" s="9">
        <f t="shared" si="15"/>
        <v>37800</v>
      </c>
      <c r="N24" s="9">
        <f t="shared" si="15"/>
        <v>37800</v>
      </c>
      <c r="O24" s="9">
        <f t="shared" si="15"/>
        <v>37800</v>
      </c>
      <c r="P24" s="9">
        <f t="shared" si="15"/>
        <v>37800</v>
      </c>
      <c r="Q24" s="6">
        <f>SUM(E24:P24)</f>
        <v>415800</v>
      </c>
    </row>
    <row r="25" ht="15">
      <c r="D25" s="12"/>
    </row>
    <row r="26" spans="2:4" ht="15.75">
      <c r="B26" s="4" t="s">
        <v>12</v>
      </c>
      <c r="D26" s="12"/>
    </row>
    <row r="27" spans="2:4" ht="15">
      <c r="B27" s="3" t="s">
        <v>13</v>
      </c>
      <c r="D27" s="12"/>
    </row>
    <row r="28" spans="2:17" ht="15">
      <c r="B28" s="5" t="s">
        <v>30</v>
      </c>
      <c r="C28" t="s">
        <v>32</v>
      </c>
      <c r="D28" s="12"/>
      <c r="E28" s="20">
        <v>0</v>
      </c>
      <c r="F28" s="20">
        <v>0</v>
      </c>
      <c r="G28" s="18">
        <v>20000</v>
      </c>
      <c r="H28" s="19">
        <v>20000</v>
      </c>
      <c r="I28" s="18">
        <v>20000</v>
      </c>
      <c r="J28" s="19">
        <v>20000</v>
      </c>
      <c r="K28" s="18">
        <v>20000</v>
      </c>
      <c r="L28" s="19">
        <v>20000</v>
      </c>
      <c r="M28" s="18">
        <v>20000</v>
      </c>
      <c r="N28" s="19">
        <v>20000</v>
      </c>
      <c r="O28" s="18">
        <v>20000</v>
      </c>
      <c r="P28" s="19">
        <v>20000</v>
      </c>
      <c r="Q28" s="18">
        <v>20000</v>
      </c>
    </row>
    <row r="29" spans="2:17" ht="15">
      <c r="B29" s="5" t="s">
        <v>15</v>
      </c>
      <c r="D29" s="1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2:17" ht="15">
      <c r="B30" s="5" t="s">
        <v>59</v>
      </c>
      <c r="D30" s="12"/>
      <c r="E30" s="46">
        <f>SUM(E28:E29)</f>
        <v>0</v>
      </c>
      <c r="F30" s="9">
        <f aca="true" t="shared" si="16" ref="F30:P30">SUM(F28:F29)</f>
        <v>0</v>
      </c>
      <c r="G30" s="9">
        <f t="shared" si="16"/>
        <v>20000</v>
      </c>
      <c r="H30" s="9">
        <f t="shared" si="16"/>
        <v>20000</v>
      </c>
      <c r="I30" s="9">
        <f t="shared" si="16"/>
        <v>20000</v>
      </c>
      <c r="J30" s="9">
        <f t="shared" si="16"/>
        <v>20000</v>
      </c>
      <c r="K30" s="9">
        <f t="shared" si="16"/>
        <v>20000</v>
      </c>
      <c r="L30" s="9">
        <f t="shared" si="16"/>
        <v>20000</v>
      </c>
      <c r="M30" s="9">
        <f t="shared" si="16"/>
        <v>20000</v>
      </c>
      <c r="N30" s="9">
        <f t="shared" si="16"/>
        <v>20000</v>
      </c>
      <c r="O30" s="9">
        <f t="shared" si="16"/>
        <v>20000</v>
      </c>
      <c r="P30" s="9">
        <f t="shared" si="16"/>
        <v>20000</v>
      </c>
      <c r="Q30" s="22"/>
    </row>
    <row r="31" ht="15">
      <c r="D31" s="12"/>
    </row>
    <row r="32" spans="2:4" ht="15">
      <c r="B32" s="3" t="s">
        <v>16</v>
      </c>
      <c r="D32" s="12"/>
    </row>
    <row r="33" spans="2:16" ht="15">
      <c r="B33" s="5" t="s">
        <v>33</v>
      </c>
      <c r="C33" s="1"/>
      <c r="D33" s="12"/>
      <c r="E33" s="32">
        <v>100</v>
      </c>
      <c r="F33" s="32">
        <v>100</v>
      </c>
      <c r="G33" s="32">
        <v>100</v>
      </c>
      <c r="H33" s="32">
        <v>100</v>
      </c>
      <c r="I33" s="32">
        <v>100</v>
      </c>
      <c r="J33" s="32">
        <v>100</v>
      </c>
      <c r="K33" s="32">
        <v>100</v>
      </c>
      <c r="L33" s="32">
        <v>100</v>
      </c>
      <c r="M33" s="32">
        <v>100</v>
      </c>
      <c r="N33" s="32">
        <v>100</v>
      </c>
      <c r="O33" s="32">
        <v>100</v>
      </c>
      <c r="P33" s="32">
        <v>100</v>
      </c>
    </row>
    <row r="34" spans="2:16" ht="15">
      <c r="B34" s="5" t="s">
        <v>98</v>
      </c>
      <c r="C34" s="1" t="s">
        <v>97</v>
      </c>
      <c r="D34" s="12"/>
      <c r="E34" s="32">
        <v>5000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</row>
    <row r="35" spans="2:17" ht="15">
      <c r="B35" s="82" t="s">
        <v>95</v>
      </c>
      <c r="C35" s="83" t="s">
        <v>56</v>
      </c>
      <c r="D35" s="84">
        <f>0.0084+0.0008</f>
        <v>0.0092</v>
      </c>
      <c r="E35" s="32">
        <f>$D35*E52</f>
        <v>74.23173333333334</v>
      </c>
      <c r="F35" s="32">
        <f aca="true" t="shared" si="17" ref="F35:P35">$D35*F52</f>
        <v>74.23173333333334</v>
      </c>
      <c r="G35" s="32">
        <f t="shared" si="17"/>
        <v>74.23173333333334</v>
      </c>
      <c r="H35" s="32">
        <f t="shared" si="17"/>
        <v>74.23173333333334</v>
      </c>
      <c r="I35" s="32">
        <f t="shared" si="17"/>
        <v>74.23173333333334</v>
      </c>
      <c r="J35" s="32">
        <f t="shared" si="17"/>
        <v>74.23173333333334</v>
      </c>
      <c r="K35" s="32">
        <f t="shared" si="17"/>
        <v>74.23173333333334</v>
      </c>
      <c r="L35" s="32">
        <f t="shared" si="17"/>
        <v>74.23173333333334</v>
      </c>
      <c r="M35" s="32">
        <f t="shared" si="17"/>
        <v>74.23173333333334</v>
      </c>
      <c r="N35" s="32">
        <f t="shared" si="17"/>
        <v>74.23173333333334</v>
      </c>
      <c r="O35" s="32">
        <f t="shared" si="17"/>
        <v>74.23173333333334</v>
      </c>
      <c r="P35" s="32">
        <f t="shared" si="17"/>
        <v>74.23173333333334</v>
      </c>
      <c r="Q35" s="25">
        <f>SUM(E35:P35)</f>
        <v>890.7807999999999</v>
      </c>
    </row>
    <row r="36" spans="2:17" ht="15">
      <c r="B36" s="82" t="s">
        <v>95</v>
      </c>
      <c r="C36" s="83" t="s">
        <v>140</v>
      </c>
      <c r="D36" s="84">
        <v>0.0092</v>
      </c>
      <c r="E36" s="32">
        <f>$D36*E53</f>
        <v>42.41813333333334</v>
      </c>
      <c r="F36" s="32">
        <f aca="true" t="shared" si="18" ref="F36:P36">$D36*F53</f>
        <v>42.41813333333334</v>
      </c>
      <c r="G36" s="32">
        <f t="shared" si="18"/>
        <v>42.41813333333334</v>
      </c>
      <c r="H36" s="32">
        <f t="shared" si="18"/>
        <v>42.41813333333334</v>
      </c>
      <c r="I36" s="32">
        <f t="shared" si="18"/>
        <v>42.41813333333334</v>
      </c>
      <c r="J36" s="32">
        <f t="shared" si="18"/>
        <v>42.41813333333334</v>
      </c>
      <c r="K36" s="32">
        <f t="shared" si="18"/>
        <v>42.41813333333334</v>
      </c>
      <c r="L36" s="32">
        <f t="shared" si="18"/>
        <v>42.41813333333334</v>
      </c>
      <c r="M36" s="32">
        <f t="shared" si="18"/>
        <v>42.41813333333334</v>
      </c>
      <c r="N36" s="32">
        <f t="shared" si="18"/>
        <v>42.41813333333334</v>
      </c>
      <c r="O36" s="32">
        <f t="shared" si="18"/>
        <v>42.41813333333334</v>
      </c>
      <c r="P36" s="32">
        <f t="shared" si="18"/>
        <v>42.41813333333334</v>
      </c>
      <c r="Q36" s="25">
        <f>SUM(E36:P36)</f>
        <v>509.0176000000001</v>
      </c>
    </row>
    <row r="37" spans="2:17" ht="15">
      <c r="B37" s="29" t="s">
        <v>142</v>
      </c>
      <c r="C37" s="27" t="s">
        <v>56</v>
      </c>
      <c r="D37" s="81">
        <v>0.03</v>
      </c>
      <c r="E37" s="32">
        <f>$D37*E52</f>
        <v>242.06</v>
      </c>
      <c r="F37" s="32">
        <f aca="true" t="shared" si="19" ref="F37:P37">$D37*F52</f>
        <v>242.06</v>
      </c>
      <c r="G37" s="32">
        <f t="shared" si="19"/>
        <v>242.06</v>
      </c>
      <c r="H37" s="32">
        <f t="shared" si="19"/>
        <v>242.06</v>
      </c>
      <c r="I37" s="32">
        <f t="shared" si="19"/>
        <v>242.06</v>
      </c>
      <c r="J37" s="32">
        <f t="shared" si="19"/>
        <v>242.06</v>
      </c>
      <c r="K37" s="32">
        <f t="shared" si="19"/>
        <v>242.06</v>
      </c>
      <c r="L37" s="32">
        <f t="shared" si="19"/>
        <v>242.06</v>
      </c>
      <c r="M37" s="32">
        <f t="shared" si="19"/>
        <v>242.06</v>
      </c>
      <c r="N37" s="32">
        <f t="shared" si="19"/>
        <v>242.06</v>
      </c>
      <c r="O37" s="32">
        <f t="shared" si="19"/>
        <v>242.06</v>
      </c>
      <c r="P37" s="32">
        <f t="shared" si="19"/>
        <v>242.06</v>
      </c>
      <c r="Q37" s="25">
        <f>SUM(E37:P37)</f>
        <v>2904.72</v>
      </c>
    </row>
    <row r="38" spans="2:17" ht="15">
      <c r="B38" s="29" t="s">
        <v>142</v>
      </c>
      <c r="C38" s="27" t="s">
        <v>140</v>
      </c>
      <c r="D38" s="81">
        <v>0.03</v>
      </c>
      <c r="E38" s="32">
        <f>$D38*E53</f>
        <v>138.32</v>
      </c>
      <c r="F38" s="32">
        <f aca="true" t="shared" si="20" ref="F38:P38">$D38*F53</f>
        <v>138.32</v>
      </c>
      <c r="G38" s="32">
        <f t="shared" si="20"/>
        <v>138.32</v>
      </c>
      <c r="H38" s="32">
        <f t="shared" si="20"/>
        <v>138.32</v>
      </c>
      <c r="I38" s="32">
        <f t="shared" si="20"/>
        <v>138.32</v>
      </c>
      <c r="J38" s="32">
        <f t="shared" si="20"/>
        <v>138.32</v>
      </c>
      <c r="K38" s="32">
        <f t="shared" si="20"/>
        <v>138.32</v>
      </c>
      <c r="L38" s="32">
        <f t="shared" si="20"/>
        <v>138.32</v>
      </c>
      <c r="M38" s="32">
        <f t="shared" si="20"/>
        <v>138.32</v>
      </c>
      <c r="N38" s="32">
        <f t="shared" si="20"/>
        <v>138.32</v>
      </c>
      <c r="O38" s="32">
        <f t="shared" si="20"/>
        <v>138.32</v>
      </c>
      <c r="P38" s="32">
        <f t="shared" si="20"/>
        <v>138.32</v>
      </c>
      <c r="Q38" s="25">
        <f>SUM(E38:P38)</f>
        <v>1659.8399999999995</v>
      </c>
    </row>
    <row r="39" spans="2:16" ht="15">
      <c r="B39" s="80" t="s">
        <v>96</v>
      </c>
      <c r="C39" s="1" t="s">
        <v>97</v>
      </c>
      <c r="D39" s="12"/>
      <c r="E39" s="32">
        <v>500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</row>
    <row r="40" spans="2:16" ht="15">
      <c r="B40" s="5" t="s">
        <v>34</v>
      </c>
      <c r="C40" s="1"/>
      <c r="D40" s="12"/>
      <c r="E40" s="32">
        <v>0</v>
      </c>
      <c r="F40" s="32">
        <v>50</v>
      </c>
      <c r="G40" s="32">
        <v>50</v>
      </c>
      <c r="H40" s="32">
        <v>50</v>
      </c>
      <c r="I40" s="32">
        <v>50</v>
      </c>
      <c r="J40" s="32">
        <v>50</v>
      </c>
      <c r="K40" s="32">
        <v>50</v>
      </c>
      <c r="L40" s="32">
        <v>50</v>
      </c>
      <c r="M40" s="32">
        <v>50</v>
      </c>
      <c r="N40" s="32">
        <v>50</v>
      </c>
      <c r="O40" s="32">
        <v>50</v>
      </c>
      <c r="P40" s="32">
        <v>50</v>
      </c>
    </row>
    <row r="41" spans="2:16" ht="15">
      <c r="B41" s="5" t="s">
        <v>35</v>
      </c>
      <c r="C41" s="1"/>
      <c r="D41" s="12"/>
      <c r="E41" s="32">
        <v>0</v>
      </c>
      <c r="F41" s="32">
        <v>35</v>
      </c>
      <c r="G41" s="32">
        <v>35</v>
      </c>
      <c r="H41" s="32">
        <v>35</v>
      </c>
      <c r="I41" s="32">
        <v>35</v>
      </c>
      <c r="J41" s="32">
        <v>35</v>
      </c>
      <c r="K41" s="32">
        <v>35</v>
      </c>
      <c r="L41" s="32">
        <v>35</v>
      </c>
      <c r="M41" s="32">
        <v>35</v>
      </c>
      <c r="N41" s="32">
        <v>35</v>
      </c>
      <c r="O41" s="32">
        <v>35</v>
      </c>
      <c r="P41" s="32">
        <v>35</v>
      </c>
    </row>
    <row r="42" spans="2:16" ht="15">
      <c r="B42" s="5" t="s">
        <v>36</v>
      </c>
      <c r="C42" s="1"/>
      <c r="D42" s="12"/>
      <c r="E42" s="32">
        <v>0</v>
      </c>
      <c r="F42" s="32">
        <v>65</v>
      </c>
      <c r="G42" s="32">
        <v>65</v>
      </c>
      <c r="H42" s="32">
        <v>65</v>
      </c>
      <c r="I42" s="32">
        <v>65</v>
      </c>
      <c r="J42" s="32">
        <v>65</v>
      </c>
      <c r="K42" s="32">
        <v>65</v>
      </c>
      <c r="L42" s="32">
        <v>65</v>
      </c>
      <c r="M42" s="32">
        <v>65</v>
      </c>
      <c r="N42" s="32">
        <v>65</v>
      </c>
      <c r="O42" s="32">
        <v>65</v>
      </c>
      <c r="P42" s="32">
        <v>65</v>
      </c>
    </row>
    <row r="43" spans="2:16" ht="15">
      <c r="B43" s="5" t="s">
        <v>17</v>
      </c>
      <c r="C43" s="1"/>
      <c r="D43" s="12"/>
      <c r="E43" s="32">
        <v>0</v>
      </c>
      <c r="F43" s="32">
        <v>25</v>
      </c>
      <c r="G43" s="32">
        <v>25</v>
      </c>
      <c r="H43" s="32">
        <v>25</v>
      </c>
      <c r="I43" s="32">
        <v>25</v>
      </c>
      <c r="J43" s="32">
        <v>25</v>
      </c>
      <c r="K43" s="32">
        <v>25</v>
      </c>
      <c r="L43" s="32">
        <v>25</v>
      </c>
      <c r="M43" s="32">
        <v>25</v>
      </c>
      <c r="N43" s="32">
        <v>25</v>
      </c>
      <c r="O43" s="32">
        <v>25</v>
      </c>
      <c r="P43" s="32">
        <v>25</v>
      </c>
    </row>
    <row r="44" spans="2:16" ht="15">
      <c r="B44" s="5" t="s">
        <v>25</v>
      </c>
      <c r="C44" t="s">
        <v>53</v>
      </c>
      <c r="D44" s="12"/>
      <c r="E44" s="32">
        <v>0</v>
      </c>
      <c r="F44" s="32">
        <f aca="true" t="shared" si="21" ref="F44:P44">$N11/(5*12)</f>
        <v>833.3333333333334</v>
      </c>
      <c r="G44" s="32">
        <f t="shared" si="21"/>
        <v>833.3333333333334</v>
      </c>
      <c r="H44" s="32">
        <f t="shared" si="21"/>
        <v>833.3333333333334</v>
      </c>
      <c r="I44" s="32">
        <f t="shared" si="21"/>
        <v>833.3333333333334</v>
      </c>
      <c r="J44" s="32">
        <f t="shared" si="21"/>
        <v>833.3333333333334</v>
      </c>
      <c r="K44" s="32">
        <f t="shared" si="21"/>
        <v>833.3333333333334</v>
      </c>
      <c r="L44" s="32">
        <f t="shared" si="21"/>
        <v>833.3333333333334</v>
      </c>
      <c r="M44" s="32">
        <f t="shared" si="21"/>
        <v>833.3333333333334</v>
      </c>
      <c r="N44" s="32">
        <f t="shared" si="21"/>
        <v>833.3333333333334</v>
      </c>
      <c r="O44" s="32">
        <f t="shared" si="21"/>
        <v>833.3333333333334</v>
      </c>
      <c r="P44" s="32">
        <f t="shared" si="21"/>
        <v>833.3333333333334</v>
      </c>
    </row>
    <row r="45" spans="2:16" ht="15">
      <c r="B45" s="5" t="s">
        <v>52</v>
      </c>
      <c r="C45" s="1"/>
      <c r="D45" s="15">
        <v>0.1</v>
      </c>
      <c r="E45" s="32">
        <v>0</v>
      </c>
      <c r="F45" s="32">
        <f aca="true" t="shared" si="22" ref="F45:P45">$N$11*$D$45/12</f>
        <v>416.6666666666667</v>
      </c>
      <c r="G45" s="32">
        <f t="shared" si="22"/>
        <v>416.6666666666667</v>
      </c>
      <c r="H45" s="32">
        <f t="shared" si="22"/>
        <v>416.6666666666667</v>
      </c>
      <c r="I45" s="32">
        <f t="shared" si="22"/>
        <v>416.6666666666667</v>
      </c>
      <c r="J45" s="32">
        <f t="shared" si="22"/>
        <v>416.6666666666667</v>
      </c>
      <c r="K45" s="32">
        <f t="shared" si="22"/>
        <v>416.6666666666667</v>
      </c>
      <c r="L45" s="32">
        <f t="shared" si="22"/>
        <v>416.6666666666667</v>
      </c>
      <c r="M45" s="32">
        <f t="shared" si="22"/>
        <v>416.6666666666667</v>
      </c>
      <c r="N45" s="32">
        <f t="shared" si="22"/>
        <v>416.6666666666667</v>
      </c>
      <c r="O45" s="32">
        <f t="shared" si="22"/>
        <v>416.6666666666667</v>
      </c>
      <c r="P45" s="32">
        <f t="shared" si="22"/>
        <v>416.6666666666667</v>
      </c>
    </row>
    <row r="46" spans="2:16" ht="15">
      <c r="B46" s="80" t="s">
        <v>94</v>
      </c>
      <c r="D46" s="13">
        <v>2500</v>
      </c>
      <c r="E46" s="32">
        <v>2500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2:16" ht="15">
      <c r="B47" s="5" t="s">
        <v>26</v>
      </c>
      <c r="C47" s="1"/>
      <c r="D47" s="12"/>
      <c r="E47" s="32">
        <v>200</v>
      </c>
      <c r="F47" s="32">
        <v>500</v>
      </c>
      <c r="G47" s="32">
        <v>500</v>
      </c>
      <c r="H47" s="32">
        <v>500</v>
      </c>
      <c r="I47" s="32">
        <v>500</v>
      </c>
      <c r="J47" s="32">
        <v>500</v>
      </c>
      <c r="K47" s="32">
        <v>500</v>
      </c>
      <c r="L47" s="32">
        <v>500</v>
      </c>
      <c r="M47" s="32">
        <v>500</v>
      </c>
      <c r="N47" s="32">
        <v>500</v>
      </c>
      <c r="O47" s="32">
        <v>500</v>
      </c>
      <c r="P47" s="32">
        <v>500</v>
      </c>
    </row>
    <row r="48" spans="2:16" ht="15">
      <c r="B48" s="5" t="s">
        <v>18</v>
      </c>
      <c r="C48" s="1"/>
      <c r="D48" s="12"/>
      <c r="E48" s="32">
        <v>20</v>
      </c>
      <c r="F48" s="32">
        <v>20</v>
      </c>
      <c r="G48" s="32">
        <v>20</v>
      </c>
      <c r="H48" s="32">
        <v>20</v>
      </c>
      <c r="I48" s="32">
        <v>20</v>
      </c>
      <c r="J48" s="32">
        <v>20</v>
      </c>
      <c r="K48" s="32">
        <v>20</v>
      </c>
      <c r="L48" s="32">
        <v>20</v>
      </c>
      <c r="M48" s="32">
        <v>20</v>
      </c>
      <c r="N48" s="32">
        <v>20</v>
      </c>
      <c r="O48" s="32">
        <v>20</v>
      </c>
      <c r="P48" s="32">
        <v>20</v>
      </c>
    </row>
    <row r="49" spans="2:16" ht="15">
      <c r="B49" s="5" t="s">
        <v>19</v>
      </c>
      <c r="C49" s="1"/>
      <c r="D49" s="13">
        <v>100</v>
      </c>
      <c r="E49" s="32">
        <f>$D49</f>
        <v>100</v>
      </c>
      <c r="F49" s="32">
        <f aca="true" t="shared" si="23" ref="F49:P49">$D49</f>
        <v>100</v>
      </c>
      <c r="G49" s="32">
        <f t="shared" si="23"/>
        <v>100</v>
      </c>
      <c r="H49" s="32">
        <f t="shared" si="23"/>
        <v>100</v>
      </c>
      <c r="I49" s="32">
        <f t="shared" si="23"/>
        <v>100</v>
      </c>
      <c r="J49" s="32">
        <f t="shared" si="23"/>
        <v>100</v>
      </c>
      <c r="K49" s="32">
        <f t="shared" si="23"/>
        <v>100</v>
      </c>
      <c r="L49" s="32">
        <f t="shared" si="23"/>
        <v>100</v>
      </c>
      <c r="M49" s="32">
        <f t="shared" si="23"/>
        <v>100</v>
      </c>
      <c r="N49" s="32">
        <f t="shared" si="23"/>
        <v>100</v>
      </c>
      <c r="O49" s="32">
        <f t="shared" si="23"/>
        <v>100</v>
      </c>
      <c r="P49" s="32">
        <f t="shared" si="23"/>
        <v>100</v>
      </c>
    </row>
    <row r="50" spans="2:16" ht="15">
      <c r="B50" s="5" t="s">
        <v>20</v>
      </c>
      <c r="C50" s="1"/>
      <c r="D50" s="12"/>
      <c r="E50" s="32">
        <v>0</v>
      </c>
      <c r="F50" s="32">
        <v>50</v>
      </c>
      <c r="G50" s="32">
        <v>50</v>
      </c>
      <c r="H50" s="32">
        <v>50</v>
      </c>
      <c r="I50" s="32">
        <v>50</v>
      </c>
      <c r="J50" s="32">
        <v>50</v>
      </c>
      <c r="K50" s="32">
        <v>50</v>
      </c>
      <c r="L50" s="32">
        <v>50</v>
      </c>
      <c r="M50" s="32">
        <v>50</v>
      </c>
      <c r="N50" s="32">
        <v>50</v>
      </c>
      <c r="O50" s="32">
        <v>50</v>
      </c>
      <c r="P50" s="32">
        <v>50</v>
      </c>
    </row>
    <row r="51" spans="2:17" ht="15">
      <c r="B51" s="5" t="s">
        <v>21</v>
      </c>
      <c r="C51" s="1"/>
      <c r="D51" s="13">
        <v>100</v>
      </c>
      <c r="E51" s="32">
        <f aca="true" t="shared" si="24" ref="E51:P51">$D51</f>
        <v>100</v>
      </c>
      <c r="F51" s="32">
        <f t="shared" si="24"/>
        <v>100</v>
      </c>
      <c r="G51" s="32">
        <f t="shared" si="24"/>
        <v>100</v>
      </c>
      <c r="H51" s="32">
        <f t="shared" si="24"/>
        <v>100</v>
      </c>
      <c r="I51" s="32">
        <f t="shared" si="24"/>
        <v>100</v>
      </c>
      <c r="J51" s="32">
        <f t="shared" si="24"/>
        <v>100</v>
      </c>
      <c r="K51" s="32">
        <f t="shared" si="24"/>
        <v>100</v>
      </c>
      <c r="L51" s="32">
        <f t="shared" si="24"/>
        <v>100</v>
      </c>
      <c r="M51" s="32">
        <f t="shared" si="24"/>
        <v>100</v>
      </c>
      <c r="N51" s="32">
        <f t="shared" si="24"/>
        <v>100</v>
      </c>
      <c r="O51" s="32">
        <f t="shared" si="24"/>
        <v>100</v>
      </c>
      <c r="P51" s="32">
        <f t="shared" si="24"/>
        <v>100</v>
      </c>
      <c r="Q51" s="31">
        <f>SUM(E33:P51)</f>
        <v>39729.3584</v>
      </c>
    </row>
    <row r="52" spans="2:17" ht="15">
      <c r="B52" s="29" t="s">
        <v>81</v>
      </c>
      <c r="C52" s="27" t="s">
        <v>56</v>
      </c>
      <c r="D52" s="30">
        <f>E4</f>
        <v>46.55</v>
      </c>
      <c r="E52" s="59">
        <f aca="true" t="shared" si="25" ref="E52:P52">$J3*$D52/12</f>
        <v>8068.666666666667</v>
      </c>
      <c r="F52" s="59">
        <f t="shared" si="25"/>
        <v>8068.666666666667</v>
      </c>
      <c r="G52" s="59">
        <f t="shared" si="25"/>
        <v>8068.666666666667</v>
      </c>
      <c r="H52" s="59">
        <f t="shared" si="25"/>
        <v>8068.666666666667</v>
      </c>
      <c r="I52" s="59">
        <f t="shared" si="25"/>
        <v>8068.666666666667</v>
      </c>
      <c r="J52" s="59">
        <f t="shared" si="25"/>
        <v>8068.666666666667</v>
      </c>
      <c r="K52" s="59">
        <f t="shared" si="25"/>
        <v>8068.666666666667</v>
      </c>
      <c r="L52" s="59">
        <f t="shared" si="25"/>
        <v>8068.666666666667</v>
      </c>
      <c r="M52" s="59">
        <f t="shared" si="25"/>
        <v>8068.666666666667</v>
      </c>
      <c r="N52" s="59">
        <f t="shared" si="25"/>
        <v>8068.666666666667</v>
      </c>
      <c r="O52" s="59">
        <f t="shared" si="25"/>
        <v>8068.666666666667</v>
      </c>
      <c r="P52" s="59">
        <f t="shared" si="25"/>
        <v>8068.666666666667</v>
      </c>
      <c r="Q52" s="33">
        <f>SUM(E52:P52)</f>
        <v>96824.00000000001</v>
      </c>
    </row>
    <row r="53" spans="2:18" ht="15">
      <c r="B53" s="29" t="s">
        <v>81</v>
      </c>
      <c r="C53" s="27" t="s">
        <v>140</v>
      </c>
      <c r="D53" s="30">
        <f>E5</f>
        <v>26.6</v>
      </c>
      <c r="E53" s="59">
        <f aca="true" t="shared" si="26" ref="E53:P53">$J3*$D53/12</f>
        <v>4610.666666666667</v>
      </c>
      <c r="F53" s="59">
        <f t="shared" si="26"/>
        <v>4610.666666666667</v>
      </c>
      <c r="G53" s="59">
        <f t="shared" si="26"/>
        <v>4610.666666666667</v>
      </c>
      <c r="H53" s="59">
        <f t="shared" si="26"/>
        <v>4610.666666666667</v>
      </c>
      <c r="I53" s="59">
        <f t="shared" si="26"/>
        <v>4610.666666666667</v>
      </c>
      <c r="J53" s="59">
        <f t="shared" si="26"/>
        <v>4610.666666666667</v>
      </c>
      <c r="K53" s="59">
        <f t="shared" si="26"/>
        <v>4610.666666666667</v>
      </c>
      <c r="L53" s="59">
        <f t="shared" si="26"/>
        <v>4610.666666666667</v>
      </c>
      <c r="M53" s="59">
        <f t="shared" si="26"/>
        <v>4610.666666666667</v>
      </c>
      <c r="N53" s="59">
        <f t="shared" si="26"/>
        <v>4610.666666666667</v>
      </c>
      <c r="O53" s="59">
        <f t="shared" si="26"/>
        <v>4610.666666666667</v>
      </c>
      <c r="P53" s="59">
        <f t="shared" si="26"/>
        <v>4610.666666666667</v>
      </c>
      <c r="Q53" s="33">
        <f>SUM(E53:P53)</f>
        <v>55327.99999999999</v>
      </c>
      <c r="R53" s="33">
        <f>SUM(E52:P53)</f>
        <v>152152</v>
      </c>
    </row>
    <row r="54" spans="2:17" ht="15">
      <c r="B54" s="5" t="s">
        <v>60</v>
      </c>
      <c r="C54" s="1"/>
      <c r="D54" s="13"/>
      <c r="E54" s="47">
        <f aca="true" t="shared" si="27" ref="E54:P54">SUM(E33:E53)</f>
        <v>21696.363200000003</v>
      </c>
      <c r="F54" s="47">
        <f t="shared" si="27"/>
        <v>15471.3632</v>
      </c>
      <c r="G54" s="47">
        <f t="shared" si="27"/>
        <v>15471.3632</v>
      </c>
      <c r="H54" s="47">
        <f t="shared" si="27"/>
        <v>15471.3632</v>
      </c>
      <c r="I54" s="47">
        <f t="shared" si="27"/>
        <v>15471.3632</v>
      </c>
      <c r="J54" s="47">
        <f t="shared" si="27"/>
        <v>15471.3632</v>
      </c>
      <c r="K54" s="47">
        <f t="shared" si="27"/>
        <v>15471.3632</v>
      </c>
      <c r="L54" s="47">
        <f t="shared" si="27"/>
        <v>15471.3632</v>
      </c>
      <c r="M54" s="47">
        <f t="shared" si="27"/>
        <v>15471.3632</v>
      </c>
      <c r="N54" s="47">
        <f t="shared" si="27"/>
        <v>15471.3632</v>
      </c>
      <c r="O54" s="47">
        <f t="shared" si="27"/>
        <v>15471.3632</v>
      </c>
      <c r="P54" s="47">
        <f t="shared" si="27"/>
        <v>15471.3632</v>
      </c>
      <c r="Q54" s="48">
        <f>SUM(E54:P54)</f>
        <v>191881.35839999994</v>
      </c>
    </row>
    <row r="55" spans="2:16" ht="15">
      <c r="B55" s="3" t="s">
        <v>22</v>
      </c>
      <c r="D55" s="12"/>
      <c r="E55" s="9">
        <f aca="true" t="shared" si="28" ref="E55:P55">E30+E54</f>
        <v>21696.363200000003</v>
      </c>
      <c r="F55" s="9">
        <f t="shared" si="28"/>
        <v>15471.3632</v>
      </c>
      <c r="G55" s="9">
        <f t="shared" si="28"/>
        <v>35471.3632</v>
      </c>
      <c r="H55" s="9">
        <f t="shared" si="28"/>
        <v>35471.3632</v>
      </c>
      <c r="I55" s="9">
        <f t="shared" si="28"/>
        <v>35471.3632</v>
      </c>
      <c r="J55" s="9">
        <f t="shared" si="28"/>
        <v>35471.3632</v>
      </c>
      <c r="K55" s="9">
        <f t="shared" si="28"/>
        <v>35471.3632</v>
      </c>
      <c r="L55" s="9">
        <f t="shared" si="28"/>
        <v>35471.3632</v>
      </c>
      <c r="M55" s="9">
        <f t="shared" si="28"/>
        <v>35471.3632</v>
      </c>
      <c r="N55" s="9">
        <f t="shared" si="28"/>
        <v>35471.3632</v>
      </c>
      <c r="O55" s="9">
        <f t="shared" si="28"/>
        <v>35471.3632</v>
      </c>
      <c r="P55" s="9">
        <f t="shared" si="28"/>
        <v>35471.3632</v>
      </c>
    </row>
    <row r="56" spans="4:16" ht="15">
      <c r="D56" s="1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5">
      <c r="B57" s="5" t="s">
        <v>23</v>
      </c>
      <c r="D57" s="12"/>
      <c r="E57" s="7">
        <f aca="true" t="shared" si="29" ref="E57:P57">E24-E55</f>
        <v>-21696.363200000003</v>
      </c>
      <c r="F57" s="7">
        <f t="shared" si="29"/>
        <v>22328.6368</v>
      </c>
      <c r="G57" s="7">
        <f t="shared" si="29"/>
        <v>2328.6368</v>
      </c>
      <c r="H57" s="7">
        <f t="shared" si="29"/>
        <v>2328.6368</v>
      </c>
      <c r="I57" s="7">
        <f t="shared" si="29"/>
        <v>2328.6368</v>
      </c>
      <c r="J57" s="7">
        <f t="shared" si="29"/>
        <v>2328.6368</v>
      </c>
      <c r="K57" s="7">
        <f t="shared" si="29"/>
        <v>2328.6368</v>
      </c>
      <c r="L57" s="7">
        <f t="shared" si="29"/>
        <v>2328.6368</v>
      </c>
      <c r="M57" s="7">
        <f t="shared" si="29"/>
        <v>2328.6368</v>
      </c>
      <c r="N57" s="7">
        <f t="shared" si="29"/>
        <v>2328.6368</v>
      </c>
      <c r="O57" s="7">
        <f t="shared" si="29"/>
        <v>2328.6368</v>
      </c>
      <c r="P57" s="7">
        <f t="shared" si="29"/>
        <v>2328.6368</v>
      </c>
    </row>
    <row r="58" spans="4:16" ht="15">
      <c r="D58" s="1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5">
      <c r="B59" t="s">
        <v>182</v>
      </c>
      <c r="D59" s="12"/>
      <c r="E59" s="1">
        <f>N12-N7</f>
        <v>30500</v>
      </c>
      <c r="F59" s="1">
        <f>E64</f>
        <v>8803.636799999997</v>
      </c>
      <c r="G59" s="1">
        <f aca="true" t="shared" si="30" ref="G59:P59">F64</f>
        <v>31132.273599999997</v>
      </c>
      <c r="H59" s="1">
        <f t="shared" si="30"/>
        <v>33460.91039999999</v>
      </c>
      <c r="I59" s="1">
        <f t="shared" si="30"/>
        <v>35789.54719999999</v>
      </c>
      <c r="J59" s="1">
        <f t="shared" si="30"/>
        <v>38118.183999999994</v>
      </c>
      <c r="K59" s="1">
        <f t="shared" si="30"/>
        <v>40446.820799999994</v>
      </c>
      <c r="L59" s="1">
        <f t="shared" si="30"/>
        <v>42775.457599999994</v>
      </c>
      <c r="M59" s="1">
        <f t="shared" si="30"/>
        <v>45104.094399999994</v>
      </c>
      <c r="N59" s="1">
        <f t="shared" si="30"/>
        <v>47432.731199999995</v>
      </c>
      <c r="O59" s="1">
        <f t="shared" si="30"/>
        <v>49761.367999999995</v>
      </c>
      <c r="P59" s="1">
        <f t="shared" si="30"/>
        <v>52090.004799999995</v>
      </c>
    </row>
    <row r="60" spans="4:16" ht="15">
      <c r="D60" s="1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5">
      <c r="B61" t="s">
        <v>24</v>
      </c>
      <c r="D61" s="12"/>
      <c r="E61" s="1">
        <f>E57+E59</f>
        <v>8803.636799999997</v>
      </c>
      <c r="F61" s="1">
        <f>F57+F59</f>
        <v>31132.273599999997</v>
      </c>
      <c r="G61" s="1">
        <f aca="true" t="shared" si="31" ref="G61:P61">G57+G59</f>
        <v>33460.91039999999</v>
      </c>
      <c r="H61" s="1">
        <f t="shared" si="31"/>
        <v>35789.54719999999</v>
      </c>
      <c r="I61" s="1">
        <f t="shared" si="31"/>
        <v>38118.183999999994</v>
      </c>
      <c r="J61" s="1">
        <f t="shared" si="31"/>
        <v>40446.820799999994</v>
      </c>
      <c r="K61" s="1">
        <f t="shared" si="31"/>
        <v>42775.457599999994</v>
      </c>
      <c r="L61" s="1">
        <f t="shared" si="31"/>
        <v>45104.094399999994</v>
      </c>
      <c r="M61" s="1">
        <f t="shared" si="31"/>
        <v>47432.731199999995</v>
      </c>
      <c r="N61" s="1">
        <f t="shared" si="31"/>
        <v>49761.367999999995</v>
      </c>
      <c r="O61" s="1">
        <f t="shared" si="31"/>
        <v>52090.004799999995</v>
      </c>
      <c r="P61" s="1">
        <f t="shared" si="31"/>
        <v>54418.641599999995</v>
      </c>
    </row>
    <row r="62" spans="2:16" ht="15">
      <c r="B62" s="5" t="s">
        <v>28</v>
      </c>
      <c r="C62" s="1"/>
      <c r="D62" s="17">
        <v>0.2</v>
      </c>
      <c r="E62" s="6">
        <f>IF(E61&lt;0,ABS(E61*$D62/12),0)</f>
        <v>0</v>
      </c>
      <c r="F62" s="6">
        <f aca="true" t="shared" si="32" ref="F62:P62">IF(F61&lt;0,ABS(F61*$D62/12),0)</f>
        <v>0</v>
      </c>
      <c r="G62" s="6">
        <f t="shared" si="32"/>
        <v>0</v>
      </c>
      <c r="H62" s="6">
        <f t="shared" si="32"/>
        <v>0</v>
      </c>
      <c r="I62" s="6">
        <f t="shared" si="32"/>
        <v>0</v>
      </c>
      <c r="J62" s="6">
        <f t="shared" si="32"/>
        <v>0</v>
      </c>
      <c r="K62" s="6">
        <f t="shared" si="32"/>
        <v>0</v>
      </c>
      <c r="L62" s="6">
        <f t="shared" si="32"/>
        <v>0</v>
      </c>
      <c r="M62" s="6">
        <f t="shared" si="32"/>
        <v>0</v>
      </c>
      <c r="N62" s="6">
        <f t="shared" si="32"/>
        <v>0</v>
      </c>
      <c r="O62" s="6">
        <f t="shared" si="32"/>
        <v>0</v>
      </c>
      <c r="P62" s="6">
        <f t="shared" si="32"/>
        <v>0</v>
      </c>
    </row>
    <row r="63" ht="15">
      <c r="D63" s="12"/>
    </row>
    <row r="64" spans="2:16" ht="16.5" thickBot="1">
      <c r="B64" s="4" t="s">
        <v>184</v>
      </c>
      <c r="D64" s="12"/>
      <c r="E64" s="8">
        <f>E61-E62</f>
        <v>8803.636799999997</v>
      </c>
      <c r="F64" s="8">
        <f>F61-F62</f>
        <v>31132.273599999997</v>
      </c>
      <c r="G64" s="8">
        <f aca="true" t="shared" si="33" ref="G64:P64">G61-G62</f>
        <v>33460.91039999999</v>
      </c>
      <c r="H64" s="8">
        <f t="shared" si="33"/>
        <v>35789.54719999999</v>
      </c>
      <c r="I64" s="8">
        <f t="shared" si="33"/>
        <v>38118.183999999994</v>
      </c>
      <c r="J64" s="8">
        <f t="shared" si="33"/>
        <v>40446.820799999994</v>
      </c>
      <c r="K64" s="8">
        <f t="shared" si="33"/>
        <v>42775.457599999994</v>
      </c>
      <c r="L64" s="8">
        <f t="shared" si="33"/>
        <v>45104.094399999994</v>
      </c>
      <c r="M64" s="8">
        <f t="shared" si="33"/>
        <v>47432.731199999995</v>
      </c>
      <c r="N64" s="8">
        <f t="shared" si="33"/>
        <v>49761.367999999995</v>
      </c>
      <c r="O64" s="8">
        <f t="shared" si="33"/>
        <v>52090.004799999995</v>
      </c>
      <c r="P64" s="8">
        <f t="shared" si="33"/>
        <v>54418.641599999995</v>
      </c>
    </row>
    <row r="65" ht="15">
      <c r="D65" s="12"/>
    </row>
    <row r="66" spans="2:4" ht="15">
      <c r="B66" s="50"/>
      <c r="D66" s="12"/>
    </row>
    <row r="67" spans="2:16" ht="15">
      <c r="B67" t="s">
        <v>186</v>
      </c>
      <c r="D67" s="12"/>
      <c r="E67" s="6">
        <f>N11</f>
        <v>50000</v>
      </c>
      <c r="F67" s="6">
        <f>E67-F44</f>
        <v>49166.666666666664</v>
      </c>
      <c r="G67" s="6">
        <f aca="true" t="shared" si="34" ref="G67:P67">F67-G44</f>
        <v>48333.33333333333</v>
      </c>
      <c r="H67" s="6">
        <f t="shared" si="34"/>
        <v>47499.99999999999</v>
      </c>
      <c r="I67" s="6">
        <f t="shared" si="34"/>
        <v>46666.66666666666</v>
      </c>
      <c r="J67" s="6">
        <f t="shared" si="34"/>
        <v>45833.33333333332</v>
      </c>
      <c r="K67" s="6">
        <f t="shared" si="34"/>
        <v>44999.999999999985</v>
      </c>
      <c r="L67" s="6">
        <f t="shared" si="34"/>
        <v>44166.66666666665</v>
      </c>
      <c r="M67" s="6">
        <f t="shared" si="34"/>
        <v>43333.333333333314</v>
      </c>
      <c r="N67" s="6">
        <f t="shared" si="34"/>
        <v>42499.99999999998</v>
      </c>
      <c r="O67" s="6">
        <f t="shared" si="34"/>
        <v>41666.66666666664</v>
      </c>
      <c r="P67" s="6">
        <f t="shared" si="34"/>
        <v>40833.33333333331</v>
      </c>
    </row>
    <row r="68" spans="2:16" ht="15">
      <c r="B68" t="s">
        <v>185</v>
      </c>
      <c r="D68" s="23">
        <v>75000</v>
      </c>
      <c r="E68" s="6">
        <f>IF(E67-(E64-$E64)&lt;0,0,E67-(E64-$E64))</f>
        <v>50000</v>
      </c>
      <c r="F68" s="6">
        <f aca="true" t="shared" si="35" ref="F68:P68">IF(F67-(F64-$E64)&lt;0,0,F67-(F64-$E64))</f>
        <v>26838.029866666664</v>
      </c>
      <c r="G68" s="6">
        <f t="shared" si="35"/>
        <v>23676.05973333333</v>
      </c>
      <c r="H68" s="6">
        <f t="shared" si="35"/>
        <v>20514.089599999996</v>
      </c>
      <c r="I68" s="6">
        <f t="shared" si="35"/>
        <v>17352.11946666666</v>
      </c>
      <c r="J68" s="6">
        <f t="shared" si="35"/>
        <v>14190.149333333324</v>
      </c>
      <c r="K68" s="6">
        <f t="shared" si="35"/>
        <v>11028.179199999984</v>
      </c>
      <c r="L68" s="6">
        <f t="shared" si="35"/>
        <v>7866.209066666655</v>
      </c>
      <c r="M68" s="6">
        <f t="shared" si="35"/>
        <v>4704.238933333312</v>
      </c>
      <c r="N68" s="6">
        <f t="shared" si="35"/>
        <v>1542.2687999999835</v>
      </c>
      <c r="O68" s="6">
        <f t="shared" si="35"/>
        <v>0</v>
      </c>
      <c r="P68" s="6">
        <f t="shared" si="35"/>
        <v>0</v>
      </c>
    </row>
    <row r="71" spans="11:16" ht="15.75" thickBot="1">
      <c r="K71" s="42"/>
      <c r="L71" s="42"/>
      <c r="M71" s="42"/>
      <c r="N71" s="42"/>
      <c r="O71" s="42"/>
      <c r="P71" s="42"/>
    </row>
    <row r="72" spans="2:15" ht="20.25" thickBot="1" thickTop="1">
      <c r="B72" t="s">
        <v>69</v>
      </c>
      <c r="C72" s="6">
        <f>(D20+D21)/2</f>
        <v>62.5</v>
      </c>
      <c r="G72" s="134" t="s">
        <v>65</v>
      </c>
      <c r="H72" s="135"/>
      <c r="I72" s="135"/>
      <c r="J72" s="136"/>
      <c r="L72" s="67"/>
      <c r="M72" s="67"/>
      <c r="N72" s="67"/>
      <c r="O72" s="67"/>
    </row>
    <row r="73" spans="2:11" ht="15.75" thickBot="1">
      <c r="B73" t="s">
        <v>71</v>
      </c>
      <c r="C73" s="6">
        <f>(D52+D53)/2</f>
        <v>36.575</v>
      </c>
      <c r="G73" s="92" t="s">
        <v>82</v>
      </c>
      <c r="H73" s="113"/>
      <c r="I73" s="43"/>
      <c r="J73" s="44"/>
      <c r="K73" s="3" t="s">
        <v>165</v>
      </c>
    </row>
    <row r="74" spans="2:10" ht="15.75" thickBot="1">
      <c r="B74" t="s">
        <v>91</v>
      </c>
      <c r="C74" s="8">
        <f>C72-C73</f>
        <v>25.924999999999997</v>
      </c>
      <c r="G74" s="114">
        <v>1</v>
      </c>
      <c r="H74" s="115">
        <f>C14</f>
        <v>0.9</v>
      </c>
      <c r="I74" s="112" t="s">
        <v>167</v>
      </c>
      <c r="J74" s="12"/>
    </row>
    <row r="75" spans="4:11" ht="15.75" thickBot="1">
      <c r="D75" s="42"/>
      <c r="G75" s="130">
        <f>J7</f>
        <v>44.8</v>
      </c>
      <c r="H75" s="131">
        <f>G75*H74</f>
        <v>40.32</v>
      </c>
      <c r="I75" s="132" t="s">
        <v>183</v>
      </c>
      <c r="J75" s="133"/>
      <c r="K75" s="26" t="s">
        <v>37</v>
      </c>
    </row>
    <row r="76" spans="7:11" ht="15">
      <c r="G76" s="93">
        <f>$Q51</f>
        <v>39729.3584</v>
      </c>
      <c r="H76" s="99">
        <f>$Q51</f>
        <v>39729.3584</v>
      </c>
      <c r="I76" s="42" t="s">
        <v>66</v>
      </c>
      <c r="J76" s="12"/>
      <c r="K76" s="26" t="s">
        <v>38</v>
      </c>
    </row>
    <row r="77" spans="7:11" ht="15">
      <c r="G77" s="94">
        <f>$J3*$D4</f>
        <v>24024</v>
      </c>
      <c r="H77" s="100">
        <f>$J3*$D4</f>
        <v>24024</v>
      </c>
      <c r="I77" s="42" t="s">
        <v>64</v>
      </c>
      <c r="J77" s="12"/>
      <c r="K77" s="26" t="s">
        <v>157</v>
      </c>
    </row>
    <row r="78" spans="7:11" ht="15">
      <c r="G78" s="94">
        <f>$J3*$D5</f>
        <v>13728.000000000002</v>
      </c>
      <c r="H78" s="101">
        <f>$J3*$D5</f>
        <v>13728.000000000002</v>
      </c>
      <c r="I78" s="42" t="s">
        <v>141</v>
      </c>
      <c r="J78" s="12"/>
      <c r="K78" s="26" t="s">
        <v>39</v>
      </c>
    </row>
    <row r="79" spans="4:11" ht="15.75" thickBot="1">
      <c r="D79" s="6"/>
      <c r="G79" s="118">
        <f>SUM(G76:G78)</f>
        <v>77481.3584</v>
      </c>
      <c r="H79" s="119">
        <f>SUM(H76:H78)</f>
        <v>77481.3584</v>
      </c>
      <c r="I79" s="42" t="s">
        <v>168</v>
      </c>
      <c r="J79" s="12"/>
      <c r="K79" s="26" t="s">
        <v>158</v>
      </c>
    </row>
    <row r="80" spans="7:11" ht="15">
      <c r="G80" s="94">
        <f>$C15</f>
        <v>10000</v>
      </c>
      <c r="H80" s="100">
        <f>$C15</f>
        <v>10000</v>
      </c>
      <c r="I80" s="42" t="s">
        <v>62</v>
      </c>
      <c r="J80" s="12"/>
      <c r="K80" s="26" t="s">
        <v>159</v>
      </c>
    </row>
    <row r="81" spans="7:11" ht="15.75" thickBot="1">
      <c r="G81" s="116">
        <f>G79+G80</f>
        <v>87481.3584</v>
      </c>
      <c r="H81" s="117">
        <f>H79+H80</f>
        <v>87481.3584</v>
      </c>
      <c r="I81" s="42" t="s">
        <v>63</v>
      </c>
      <c r="J81" s="12"/>
      <c r="K81" s="26" t="s">
        <v>160</v>
      </c>
    </row>
    <row r="82" spans="7:16" ht="15">
      <c r="G82" s="94">
        <f>$C$74</f>
        <v>25.924999999999997</v>
      </c>
      <c r="H82" s="100">
        <f>$C$74</f>
        <v>25.924999999999997</v>
      </c>
      <c r="I82" s="42" t="s">
        <v>79</v>
      </c>
      <c r="J82" s="12"/>
      <c r="K82" s="26" t="s">
        <v>166</v>
      </c>
      <c r="M82" s="52"/>
      <c r="N82" s="52"/>
      <c r="O82" s="52"/>
      <c r="P82" s="42"/>
    </row>
    <row r="83" spans="7:16" ht="15">
      <c r="G83" s="95" t="s">
        <v>171</v>
      </c>
      <c r="H83" s="53"/>
      <c r="I83" s="53"/>
      <c r="J83" s="54"/>
      <c r="K83" s="26"/>
      <c r="L83" s="66"/>
      <c r="M83" s="91"/>
      <c r="N83" s="52"/>
      <c r="O83" s="52"/>
      <c r="P83" s="42"/>
    </row>
    <row r="84" spans="7:16" ht="15">
      <c r="G84" s="104">
        <f>G79/G75/G82</f>
        <v>66.71146025623365</v>
      </c>
      <c r="H84" s="105">
        <f>H79/H75/H82</f>
        <v>74.1238447291485</v>
      </c>
      <c r="I84" s="106" t="s">
        <v>173</v>
      </c>
      <c r="J84" s="107"/>
      <c r="K84" s="26" t="s">
        <v>161</v>
      </c>
      <c r="L84" s="45"/>
      <c r="M84" s="45"/>
      <c r="N84" s="52"/>
      <c r="O84" s="52"/>
      <c r="P84" s="42"/>
    </row>
    <row r="85" spans="7:16" ht="15">
      <c r="G85" s="96">
        <f>G84/2</f>
        <v>33.355730128116825</v>
      </c>
      <c r="H85" s="102">
        <f>H84/2</f>
        <v>37.06192236457425</v>
      </c>
      <c r="I85" s="53" t="s">
        <v>169</v>
      </c>
      <c r="J85" s="54"/>
      <c r="K85" s="26" t="s">
        <v>162</v>
      </c>
      <c r="L85" s="45" t="s">
        <v>170</v>
      </c>
      <c r="M85" s="52"/>
      <c r="N85" s="52"/>
      <c r="O85" s="52"/>
      <c r="P85" s="42"/>
    </row>
    <row r="86" spans="7:16" ht="15">
      <c r="G86" s="97" t="s">
        <v>172</v>
      </c>
      <c r="H86" s="56"/>
      <c r="I86" s="56"/>
      <c r="J86" s="55"/>
      <c r="K86" s="26"/>
      <c r="L86" s="66"/>
      <c r="M86" s="45"/>
      <c r="N86" s="52"/>
      <c r="O86" s="52"/>
      <c r="P86" s="42"/>
    </row>
    <row r="87" spans="7:16" ht="15">
      <c r="G87" s="108">
        <f>G81/G75/G82</f>
        <v>75.32146163383388</v>
      </c>
      <c r="H87" s="109">
        <f>H81/H75/H82</f>
        <v>83.69051292648207</v>
      </c>
      <c r="I87" s="110" t="s">
        <v>173</v>
      </c>
      <c r="J87" s="111"/>
      <c r="K87" s="26" t="s">
        <v>163</v>
      </c>
      <c r="L87" s="45"/>
      <c r="M87" s="45"/>
      <c r="N87" s="52"/>
      <c r="O87" s="52"/>
      <c r="P87" s="42"/>
    </row>
    <row r="88" spans="7:16" ht="15.75" thickBot="1">
      <c r="G88" s="98">
        <f>G87/2</f>
        <v>37.66073081691694</v>
      </c>
      <c r="H88" s="103">
        <f>H87/2</f>
        <v>41.845256463241036</v>
      </c>
      <c r="I88" s="57" t="s">
        <v>169</v>
      </c>
      <c r="J88" s="58"/>
      <c r="K88" s="26" t="s">
        <v>164</v>
      </c>
      <c r="L88" s="45" t="s">
        <v>170</v>
      </c>
      <c r="M88" s="42"/>
      <c r="N88" s="42"/>
      <c r="O88" s="42"/>
      <c r="P88" s="42"/>
    </row>
    <row r="89" ht="15.75" thickTop="1"/>
  </sheetData>
  <mergeCells count="1">
    <mergeCell ref="G72:J72"/>
  </mergeCells>
  <conditionalFormatting sqref="E68:P68">
    <cfRule type="expression" priority="14" dxfId="0">
      <formula>E$68&gt;$D$68</formula>
    </cfRule>
  </conditionalFormatting>
  <printOptions/>
  <pageMargins left="0.25" right="0.25" top="0.75" bottom="0" header="0.3" footer="0.3"/>
  <pageSetup fitToHeight="1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DCADA-AC22-4676-AAC2-C81284117682}">
  <sheetPr>
    <pageSetUpPr fitToPage="1"/>
  </sheetPr>
  <dimension ref="A1:H41"/>
  <sheetViews>
    <sheetView zoomScale="85" zoomScaleNormal="85" workbookViewId="0" topLeftCell="A1">
      <selection activeCell="B1" sqref="B1"/>
    </sheetView>
  </sheetViews>
  <sheetFormatPr defaultColWidth="9.140625" defaultRowHeight="15"/>
  <cols>
    <col min="1" max="1" width="1.421875" style="0" customWidth="1"/>
    <col min="2" max="2" width="28.140625" style="0" customWidth="1"/>
    <col min="3" max="3" width="10.57421875" style="0" bestFit="1" customWidth="1"/>
    <col min="4" max="4" width="2.00390625" style="0" customWidth="1"/>
    <col min="5" max="5" width="16.00390625" style="0" bestFit="1" customWidth="1"/>
    <col min="6" max="6" width="10.57421875" style="0" bestFit="1" customWidth="1"/>
    <col min="7" max="7" width="12.140625" style="0" bestFit="1" customWidth="1"/>
    <col min="8" max="8" width="10.8515625" style="0" bestFit="1" customWidth="1"/>
  </cols>
  <sheetData>
    <row r="1" ht="26.25">
      <c r="A1" s="24" t="s">
        <v>187</v>
      </c>
    </row>
    <row r="3" spans="2:8" ht="15">
      <c r="B3" s="137" t="s">
        <v>125</v>
      </c>
      <c r="C3" s="137"/>
      <c r="D3" s="76"/>
      <c r="E3" s="137" t="s">
        <v>124</v>
      </c>
      <c r="F3" s="137"/>
      <c r="G3" s="77" t="s">
        <v>132</v>
      </c>
      <c r="H3" s="77" t="s">
        <v>133</v>
      </c>
    </row>
    <row r="4" spans="2:8" ht="15">
      <c r="B4" t="s">
        <v>129</v>
      </c>
      <c r="C4" s="68">
        <v>500</v>
      </c>
      <c r="D4" s="68"/>
      <c r="E4" s="68" t="s">
        <v>56</v>
      </c>
      <c r="F4" s="68">
        <f>35*2000</f>
        <v>70000</v>
      </c>
      <c r="G4" s="71">
        <f>F4*0.3</f>
        <v>21000</v>
      </c>
      <c r="H4" s="71">
        <f>F4-G4</f>
        <v>49000</v>
      </c>
    </row>
    <row r="5" spans="2:8" ht="15">
      <c r="B5" t="s">
        <v>111</v>
      </c>
      <c r="C5" s="68">
        <v>1937</v>
      </c>
      <c r="D5" s="68"/>
      <c r="E5" s="68" t="s">
        <v>134</v>
      </c>
      <c r="F5" s="68">
        <f>30*2000</f>
        <v>60000</v>
      </c>
      <c r="G5" s="71">
        <f>F5*0.3</f>
        <v>18000</v>
      </c>
      <c r="H5" s="71">
        <f>F5-G5</f>
        <v>42000</v>
      </c>
    </row>
    <row r="6" spans="2:8" ht="15.75" thickBot="1">
      <c r="B6" t="s">
        <v>131</v>
      </c>
      <c r="C6" s="68">
        <v>0</v>
      </c>
      <c r="D6" s="68"/>
      <c r="E6" s="68"/>
      <c r="F6" s="70"/>
      <c r="H6" s="72">
        <f>SUM(H4:H5)</f>
        <v>91000</v>
      </c>
    </row>
    <row r="7" spans="2:6" ht="15">
      <c r="B7" t="s">
        <v>112</v>
      </c>
      <c r="C7" s="68">
        <v>660</v>
      </c>
      <c r="D7" s="68"/>
      <c r="E7" s="68"/>
      <c r="F7" s="68"/>
    </row>
    <row r="8" spans="2:6" ht="15">
      <c r="B8" t="s">
        <v>130</v>
      </c>
      <c r="C8" s="68">
        <v>0</v>
      </c>
      <c r="D8" s="68"/>
      <c r="E8" s="68"/>
      <c r="F8" s="68"/>
    </row>
    <row r="9" spans="2:6" ht="15">
      <c r="B9" t="s">
        <v>113</v>
      </c>
      <c r="C9" s="68">
        <v>500</v>
      </c>
      <c r="D9" s="68"/>
      <c r="E9" s="68"/>
      <c r="F9" s="68"/>
    </row>
    <row r="10" spans="2:6" ht="15">
      <c r="B10" t="s">
        <v>114</v>
      </c>
      <c r="C10" s="68">
        <f>59.99*12</f>
        <v>719.88</v>
      </c>
      <c r="D10" s="68"/>
      <c r="E10" s="68"/>
      <c r="F10" s="68"/>
    </row>
    <row r="11" spans="2:6" ht="15">
      <c r="B11" t="s">
        <v>115</v>
      </c>
      <c r="C11" s="68">
        <f>59.99*12</f>
        <v>719.88</v>
      </c>
      <c r="D11" s="68"/>
      <c r="E11" s="68"/>
      <c r="F11" s="68"/>
    </row>
    <row r="12" spans="2:6" ht="15">
      <c r="B12" t="s">
        <v>100</v>
      </c>
      <c r="C12" s="68">
        <f>69.99*12</f>
        <v>839.8799999999999</v>
      </c>
      <c r="D12" s="68"/>
      <c r="E12" s="68"/>
      <c r="F12" s="68"/>
    </row>
    <row r="13" spans="2:6" ht="15">
      <c r="B13" t="s">
        <v>101</v>
      </c>
      <c r="C13" s="68">
        <f>16*12</f>
        <v>192</v>
      </c>
      <c r="D13" s="68"/>
      <c r="E13" s="68"/>
      <c r="F13" s="68"/>
    </row>
    <row r="14" spans="2:6" ht="15">
      <c r="B14" t="s">
        <v>102</v>
      </c>
      <c r="C14" s="68">
        <f>14.99*12</f>
        <v>179.88</v>
      </c>
      <c r="D14" s="68"/>
      <c r="E14" s="68"/>
      <c r="F14" s="68"/>
    </row>
    <row r="15" spans="2:6" ht="15">
      <c r="B15" t="s">
        <v>103</v>
      </c>
      <c r="C15" s="68">
        <f>209.6</f>
        <v>209.6</v>
      </c>
      <c r="D15" s="68"/>
      <c r="E15" s="68"/>
      <c r="F15" s="68"/>
    </row>
    <row r="16" spans="2:6" ht="15">
      <c r="B16" t="s">
        <v>104</v>
      </c>
      <c r="C16" s="68">
        <f>89.4</f>
        <v>89.4</v>
      </c>
      <c r="D16" s="68"/>
      <c r="E16" s="68"/>
      <c r="F16" s="68"/>
    </row>
    <row r="17" spans="2:6" ht="15">
      <c r="B17" t="s">
        <v>99</v>
      </c>
      <c r="C17" s="68">
        <v>12000</v>
      </c>
      <c r="D17" s="68"/>
      <c r="E17" s="68"/>
      <c r="F17" s="68"/>
    </row>
    <row r="18" spans="2:6" ht="15">
      <c r="B18" t="s">
        <v>105</v>
      </c>
      <c r="C18" s="68">
        <f>60*9</f>
        <v>540</v>
      </c>
      <c r="D18" s="68"/>
      <c r="E18" s="68"/>
      <c r="F18" s="68"/>
    </row>
    <row r="19" spans="2:6" ht="15">
      <c r="B19" t="s">
        <v>106</v>
      </c>
      <c r="C19" s="68">
        <v>400</v>
      </c>
      <c r="D19" s="68"/>
      <c r="E19" s="68"/>
      <c r="F19" s="68"/>
    </row>
    <row r="20" spans="2:6" ht="15">
      <c r="B20" t="s">
        <v>107</v>
      </c>
      <c r="C20" s="68">
        <v>500</v>
      </c>
      <c r="D20" s="68"/>
      <c r="E20" s="68"/>
      <c r="F20" s="68"/>
    </row>
    <row r="21" spans="2:6" ht="15">
      <c r="B21" t="s">
        <v>116</v>
      </c>
      <c r="C21" s="68">
        <f>90*26</f>
        <v>2340</v>
      </c>
      <c r="D21" s="68"/>
      <c r="E21" s="68"/>
      <c r="F21" s="68"/>
    </row>
    <row r="22" spans="2:6" ht="15">
      <c r="B22" t="s">
        <v>117</v>
      </c>
      <c r="C22" s="68">
        <f>90*26</f>
        <v>2340</v>
      </c>
      <c r="D22" s="68"/>
      <c r="E22" s="68"/>
      <c r="F22" s="68"/>
    </row>
    <row r="23" spans="2:6" ht="15">
      <c r="B23" t="s">
        <v>118</v>
      </c>
      <c r="C23" s="68">
        <f>585.44</f>
        <v>585.44</v>
      </c>
      <c r="D23" s="68"/>
      <c r="E23" s="68"/>
      <c r="F23" s="68"/>
    </row>
    <row r="24" spans="2:6" ht="15">
      <c r="B24" t="s">
        <v>119</v>
      </c>
      <c r="C24" s="68">
        <f>772.21</f>
        <v>772.21</v>
      </c>
      <c r="D24" s="68"/>
      <c r="E24" s="68"/>
      <c r="F24" s="68"/>
    </row>
    <row r="25" spans="2:6" ht="15">
      <c r="B25" t="s">
        <v>120</v>
      </c>
      <c r="C25" s="68">
        <f>102</f>
        <v>102</v>
      </c>
      <c r="D25" s="68"/>
      <c r="E25" s="68"/>
      <c r="F25" s="68"/>
    </row>
    <row r="26" spans="2:6" ht="15">
      <c r="B26" t="s">
        <v>121</v>
      </c>
      <c r="C26" s="68">
        <f>76.92</f>
        <v>76.92</v>
      </c>
      <c r="D26" s="68"/>
      <c r="E26" s="68"/>
      <c r="F26" s="68"/>
    </row>
    <row r="27" spans="2:6" ht="15">
      <c r="B27" t="s">
        <v>122</v>
      </c>
      <c r="C27" s="68">
        <f>60</f>
        <v>60</v>
      </c>
      <c r="D27" s="68"/>
      <c r="E27" s="68"/>
      <c r="F27" s="68"/>
    </row>
    <row r="28" spans="2:6" ht="15">
      <c r="B28" t="s">
        <v>123</v>
      </c>
      <c r="C28" s="68">
        <f>50</f>
        <v>50</v>
      </c>
      <c r="D28" s="68"/>
      <c r="E28" s="68"/>
      <c r="F28" s="68"/>
    </row>
    <row r="29" spans="2:6" ht="15">
      <c r="B29" t="s">
        <v>108</v>
      </c>
      <c r="C29" s="68">
        <f>36</f>
        <v>36</v>
      </c>
      <c r="D29" s="68"/>
      <c r="E29" s="68"/>
      <c r="F29" s="70"/>
    </row>
    <row r="30" spans="2:6" ht="15">
      <c r="B30" t="s">
        <v>109</v>
      </c>
      <c r="C30" s="68">
        <f>100</f>
        <v>100</v>
      </c>
      <c r="D30" s="68"/>
      <c r="E30" s="68"/>
      <c r="F30" s="70"/>
    </row>
    <row r="31" spans="2:6" ht="15">
      <c r="B31" t="s">
        <v>126</v>
      </c>
      <c r="C31" s="68">
        <v>5200</v>
      </c>
      <c r="D31" s="68"/>
      <c r="E31" s="68"/>
      <c r="F31" s="70"/>
    </row>
    <row r="32" spans="2:6" ht="15">
      <c r="B32" t="s">
        <v>138</v>
      </c>
      <c r="C32" s="68">
        <f>100*52</f>
        <v>5200</v>
      </c>
      <c r="D32" s="68"/>
      <c r="E32" s="68"/>
      <c r="F32" s="70"/>
    </row>
    <row r="33" spans="2:6" ht="15">
      <c r="B33" t="s">
        <v>127</v>
      </c>
      <c r="C33" s="68">
        <v>500</v>
      </c>
      <c r="D33" s="68"/>
      <c r="E33" s="68"/>
      <c r="F33" s="70"/>
    </row>
    <row r="34" spans="2:6" ht="15">
      <c r="B34" t="s">
        <v>135</v>
      </c>
      <c r="C34" s="68">
        <f>550*52</f>
        <v>28600</v>
      </c>
      <c r="D34" s="68"/>
      <c r="E34" s="68"/>
      <c r="F34" s="70"/>
    </row>
    <row r="35" spans="2:6" ht="15.75" thickBot="1">
      <c r="B35" s="74" t="s">
        <v>139</v>
      </c>
      <c r="C35" s="72">
        <f>SUM(C4:C34)</f>
        <v>65950.09</v>
      </c>
      <c r="D35" s="78"/>
      <c r="E35" s="68"/>
      <c r="F35" s="70"/>
    </row>
    <row r="36" ht="15">
      <c r="F36" s="42"/>
    </row>
    <row r="37" spans="2:8" ht="15">
      <c r="B37" s="75" t="s">
        <v>137</v>
      </c>
      <c r="C37" s="69">
        <f>H6</f>
        <v>91000</v>
      </c>
      <c r="D37" s="69"/>
      <c r="H37" s="71"/>
    </row>
    <row r="38" ht="15.75" thickBot="1"/>
    <row r="39" spans="2:4" ht="16.5" thickBot="1" thickTop="1">
      <c r="B39" s="74" t="s">
        <v>136</v>
      </c>
      <c r="C39" s="73">
        <f>C37-C35</f>
        <v>25049.910000000003</v>
      </c>
      <c r="D39" s="79"/>
    </row>
    <row r="40" ht="15.75" thickTop="1"/>
    <row r="41" ht="15">
      <c r="B41" t="s">
        <v>128</v>
      </c>
    </row>
  </sheetData>
  <mergeCells count="2">
    <mergeCell ref="B3:C3"/>
    <mergeCell ref="E3:F3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2019-11-25T17:40:53Z</dcterms:modified>
  <cp:category/>
  <cp:version/>
  <cp:contentType/>
  <cp:contentStatus/>
</cp:coreProperties>
</file>